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F:\太陽能\倍得利 - 太陽能商品推銷excel 目錄製作\商品EXCEL\"/>
    </mc:Choice>
  </mc:AlternateContent>
  <xr:revisionPtr revIDLastSave="0" documentId="13_ncr:1_{5392F949-5E5F-404B-A0A6-7BB4B457499E}" xr6:coauthVersionLast="47" xr6:coauthVersionMax="47" xr10:uidLastSave="{00000000-0000-0000-0000-000000000000}"/>
  <bookViews>
    <workbookView xWindow="-120" yWindow="-120" windowWidth="20730" windowHeight="11160" tabRatio="629" activeTab="2" xr2:uid="{00000000-000D-0000-FFFF-FFFF00000000}"/>
  </bookViews>
  <sheets>
    <sheet name="倍得利資料" sheetId="5" r:id="rId1"/>
    <sheet name="計算教學" sheetId="7" r:id="rId2"/>
    <sheet name="住宅自用+賣綠證" sheetId="1" r:id="rId3"/>
    <sheet name="營業自用+賣綠證" sheetId="2" r:id="rId4"/>
    <sheet name="全額躉售" sheetId="8" r:id="rId5"/>
    <sheet name="安裝整套 價格&amp;內容物" sheetId="3" r:id="rId6"/>
    <sheet name="BOLD大量訂購" sheetId="6" r:id="rId7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" i="8" l="1"/>
  <c r="C14" i="8"/>
  <c r="B13" i="8"/>
  <c r="C13" i="8"/>
  <c r="B12" i="8"/>
  <c r="C12" i="8"/>
  <c r="B11" i="8"/>
  <c r="C11" i="8"/>
  <c r="B10" i="8"/>
  <c r="C10" i="8"/>
  <c r="B9" i="8"/>
  <c r="C9" i="8"/>
  <c r="B8" i="8"/>
  <c r="C8" i="8"/>
  <c r="D9" i="8"/>
  <c r="D10" i="8"/>
  <c r="D25" i="2"/>
  <c r="D26" i="2"/>
  <c r="B32" i="1"/>
  <c r="C32" i="1"/>
  <c r="B31" i="1"/>
  <c r="C31" i="1"/>
  <c r="B30" i="1"/>
  <c r="C30" i="1"/>
  <c r="B29" i="1"/>
  <c r="C29" i="1"/>
  <c r="B28" i="1"/>
  <c r="C28" i="1"/>
  <c r="B27" i="1"/>
  <c r="C27" i="1"/>
  <c r="B26" i="1" l="1"/>
  <c r="C26" i="1"/>
  <c r="D27" i="1"/>
  <c r="D28" i="1"/>
  <c r="A2" i="8"/>
  <c r="B2" i="8" s="1"/>
  <c r="C2" i="8" s="1"/>
  <c r="D21" i="1" l="1"/>
  <c r="D19" i="2" l="1"/>
  <c r="E13" i="2" l="1"/>
  <c r="D13" i="2" s="1"/>
  <c r="D16" i="2" s="1"/>
  <c r="C10" i="2"/>
  <c r="B10" i="2"/>
  <c r="C8" i="2"/>
  <c r="B8" i="2"/>
  <c r="C6" i="2"/>
  <c r="B6" i="2"/>
  <c r="C4" i="2"/>
  <c r="B4" i="2"/>
  <c r="C2" i="2"/>
  <c r="B2" i="2"/>
  <c r="E15" i="1"/>
  <c r="F15" i="1" s="1"/>
  <c r="C21" i="1" s="1"/>
  <c r="C12" i="1"/>
  <c r="B12" i="1"/>
  <c r="C10" i="1"/>
  <c r="B10" i="1"/>
  <c r="C8" i="1"/>
  <c r="B8" i="1"/>
  <c r="C6" i="1"/>
  <c r="B6" i="1"/>
  <c r="C4" i="1"/>
  <c r="B4" i="1"/>
  <c r="C2" i="1"/>
  <c r="B2" i="1"/>
  <c r="F13" i="2" l="1"/>
  <c r="C19" i="2" s="1"/>
  <c r="B19" i="2" s="1"/>
  <c r="D15" i="1"/>
  <c r="E18" i="1" s="1"/>
  <c r="N9" i="2"/>
  <c r="K9" i="2"/>
  <c r="L1" i="2"/>
  <c r="F2" i="2"/>
  <c r="K1" i="2"/>
  <c r="F6" i="2"/>
  <c r="L7" i="2" s="1"/>
  <c r="F8" i="2"/>
  <c r="K7" i="2"/>
  <c r="K3" i="2"/>
  <c r="J7" i="2"/>
  <c r="K5" i="2"/>
  <c r="J1" i="2"/>
  <c r="L9" i="2"/>
  <c r="J5" i="2"/>
  <c r="F16" i="2"/>
  <c r="E16" i="2"/>
  <c r="M18" i="2" s="1"/>
  <c r="N20" i="2"/>
  <c r="J3" i="2"/>
  <c r="F4" i="2"/>
  <c r="L5" i="2"/>
  <c r="G6" i="2"/>
  <c r="L16" i="2" s="1"/>
  <c r="M7" i="2"/>
  <c r="G8" i="2"/>
  <c r="M9" i="2"/>
  <c r="F10" i="2"/>
  <c r="K20" i="2"/>
  <c r="J9" i="2"/>
  <c r="G10" i="2"/>
  <c r="L20" i="2"/>
  <c r="B21" i="1"/>
  <c r="B24" i="2" l="1"/>
  <c r="B30" i="2"/>
  <c r="C27" i="2"/>
  <c r="C30" i="2"/>
  <c r="B25" i="2"/>
  <c r="C24" i="2"/>
  <c r="B26" i="2"/>
  <c r="C25" i="2"/>
  <c r="B27" i="2"/>
  <c r="C26" i="2"/>
  <c r="B28" i="2"/>
  <c r="C29" i="2"/>
  <c r="B29" i="2"/>
  <c r="C28" i="2"/>
  <c r="J16" i="2"/>
  <c r="J14" i="2"/>
  <c r="K16" i="2"/>
  <c r="F18" i="1"/>
  <c r="G6" i="1"/>
  <c r="K18" i="1" s="1"/>
  <c r="J20" i="1"/>
  <c r="J14" i="1"/>
  <c r="K14" i="1"/>
  <c r="J18" i="1"/>
  <c r="L14" i="1"/>
  <c r="L20" i="1"/>
  <c r="G12" i="1"/>
  <c r="D18" i="1"/>
  <c r="F8" i="1" s="1"/>
  <c r="K16" i="1"/>
  <c r="L16" i="1"/>
  <c r="G4" i="1"/>
  <c r="J22" i="1"/>
  <c r="M14" i="1"/>
  <c r="G2" i="1"/>
  <c r="J16" i="1"/>
  <c r="G8" i="1"/>
  <c r="L18" i="1" s="1"/>
  <c r="L22" i="1"/>
  <c r="K20" i="1"/>
  <c r="G10" i="1"/>
  <c r="K22" i="1" s="1"/>
  <c r="M20" i="2"/>
  <c r="K12" i="2"/>
  <c r="G4" i="2"/>
  <c r="G2" i="2"/>
  <c r="J12" i="2"/>
  <c r="K14" i="2"/>
  <c r="J18" i="2"/>
  <c r="J20" i="2"/>
  <c r="L18" i="2"/>
  <c r="K18" i="2"/>
  <c r="L12" i="2"/>
  <c r="F12" i="1"/>
  <c r="J9" i="1"/>
  <c r="L3" i="1" l="1"/>
  <c r="K3" i="1"/>
  <c r="K5" i="1"/>
  <c r="J7" i="1"/>
  <c r="F6" i="1"/>
  <c r="F4" i="1"/>
  <c r="J5" i="1"/>
  <c r="J3" i="1"/>
  <c r="L7" i="1"/>
  <c r="F2" i="1"/>
  <c r="F10" i="1"/>
  <c r="K9" i="1" s="1"/>
  <c r="L9" i="1"/>
  <c r="K7" i="1"/>
  <c r="L5" i="1"/>
  <c r="K1" i="1"/>
  <c r="J1" i="1"/>
  <c r="L1" i="1"/>
</calcChain>
</file>

<file path=xl/sharedStrings.xml><?xml version="1.0" encoding="utf-8"?>
<sst xmlns="http://schemas.openxmlformats.org/spreadsheetml/2006/main" count="174" uniqueCount="101">
  <si>
    <t>kW</t>
    <phoneticPr fontId="1" type="noConversion"/>
  </si>
  <si>
    <t>120 (1.68/度)</t>
    <phoneticPr fontId="1" type="noConversion"/>
  </si>
  <si>
    <t>331~500 (3.70, 3.03/度)</t>
    <phoneticPr fontId="1" type="noConversion"/>
  </si>
  <si>
    <t>121~330 (2.45, 2.16/度)</t>
    <phoneticPr fontId="1" type="noConversion"/>
  </si>
  <si>
    <t>501~700 (5.04, 4.14/度)</t>
    <phoneticPr fontId="1" type="noConversion"/>
  </si>
  <si>
    <t>701~1000 (6.24, 5.07/度)</t>
  </si>
  <si>
    <t>1000 UP (8.46, 6.63/度)</t>
  </si>
  <si>
    <t>輸入: PV安裝功率</t>
    <phoneticPr fontId="1" type="noConversion"/>
  </si>
  <si>
    <t>單月電費(夏日)</t>
    <phoneticPr fontId="1" type="noConversion"/>
  </si>
  <si>
    <t>單月電費(非夏日)</t>
    <phoneticPr fontId="1" type="noConversion"/>
  </si>
  <si>
    <t>單月電費(夏日)</t>
  </si>
  <si>
    <t>單月電費(非夏日)</t>
  </si>
  <si>
    <t>kW</t>
  </si>
  <si>
    <t>單月減少CO2公斤數</t>
    <phoneticPr fontId="1" type="noConversion"/>
  </si>
  <si>
    <t>330 (2.61, 2.18/度)</t>
    <phoneticPr fontId="1" type="noConversion"/>
  </si>
  <si>
    <t>331~700 (3.66, 3.00/度)</t>
    <phoneticPr fontId="1" type="noConversion"/>
  </si>
  <si>
    <t>701~1500 (4.46, 3.61/度)</t>
    <phoneticPr fontId="1" type="noConversion"/>
  </si>
  <si>
    <t>1501~3000 (7.08, 5.56/度)</t>
    <phoneticPr fontId="1" type="noConversion"/>
  </si>
  <si>
    <t>3001 UP (7.43, 5.83/度)</t>
    <phoneticPr fontId="1" type="noConversion"/>
  </si>
  <si>
    <t>單月節省電費
(夏日)</t>
    <phoneticPr fontId="1" type="noConversion"/>
  </si>
  <si>
    <t>單月節省電費
(非夏日)</t>
    <phoneticPr fontId="1" type="noConversion"/>
  </si>
  <si>
    <t>安裝PV單月電費
(夏日)</t>
    <phoneticPr fontId="1" type="noConversion"/>
  </si>
  <si>
    <t>安裝PV單月電費
(非夏日)</t>
    <phoneticPr fontId="1" type="noConversion"/>
  </si>
  <si>
    <t>輸入: 單月節省電費
(夏日)</t>
    <phoneticPr fontId="1" type="noConversion"/>
  </si>
  <si>
    <t>輸入: 單月節省電費
(非夏日)</t>
    <phoneticPr fontId="1" type="noConversion"/>
  </si>
  <si>
    <t>回本時間(年)</t>
    <phoneticPr fontId="1" type="noConversion"/>
  </si>
  <si>
    <t>用電度數級距</t>
    <phoneticPr fontId="1" type="noConversion"/>
  </si>
  <si>
    <t>輸入: 單月用電度數
(夏日)</t>
    <phoneticPr fontId="1" type="noConversion"/>
  </si>
  <si>
    <t>輸入: 單月用電度數
(非夏日)</t>
    <phoneticPr fontId="1" type="noConversion"/>
  </si>
  <si>
    <t>施工安裝</t>
    <phoneticPr fontId="1" type="noConversion"/>
  </si>
  <si>
    <t>Stäubli  MC4接頭</t>
    <phoneticPr fontId="1" type="noConversion"/>
  </si>
  <si>
    <t>內容包含：</t>
    <phoneticPr fontId="1" type="noConversion"/>
  </si>
  <si>
    <t>單日估計產生度數</t>
    <phoneticPr fontId="1" type="noConversion"/>
  </si>
  <si>
    <t>單月估計產生度數</t>
    <phoneticPr fontId="1" type="noConversion"/>
  </si>
  <si>
    <t>單月抵扣後用電度數
(夏日)</t>
    <phoneticPr fontId="1" type="noConversion"/>
  </si>
  <si>
    <t>單月抵扣後用電度數
(非夏日)</t>
    <phoneticPr fontId="1" type="noConversion"/>
  </si>
  <si>
    <t>統編：84096649</t>
    <phoneticPr fontId="1" type="noConversion"/>
  </si>
  <si>
    <t>電話：04-22634277</t>
    <phoneticPr fontId="1" type="noConversion"/>
  </si>
  <si>
    <t>傳真：04-22631599</t>
    <phoneticPr fontId="1" type="noConversion"/>
  </si>
  <si>
    <t>聯絡人：廖天佑</t>
    <phoneticPr fontId="1" type="noConversion"/>
  </si>
  <si>
    <t>手機：0963246178</t>
    <phoneticPr fontId="1" type="noConversion"/>
  </si>
  <si>
    <t>交易條件：T/T 50% Advance, 50% before shipment.</t>
    <phoneticPr fontId="1" type="noConversion"/>
  </si>
  <si>
    <t>品名</t>
    <phoneticPr fontId="1" type="noConversion"/>
  </si>
  <si>
    <t>數量</t>
    <phoneticPr fontId="1" type="noConversion"/>
  </si>
  <si>
    <t>單位</t>
    <phoneticPr fontId="1" type="noConversion"/>
  </si>
  <si>
    <t>片</t>
    <phoneticPr fontId="1" type="noConversion"/>
  </si>
  <si>
    <t>NTD</t>
  </si>
  <si>
    <t>幣別</t>
    <phoneticPr fontId="1" type="noConversion"/>
  </si>
  <si>
    <t>交易條件：CIF TWTXG, T/T 50% Advance, 50% before shipment.</t>
    <phoneticPr fontId="1" type="noConversion"/>
  </si>
  <si>
    <t>倍得利有限公司/ASIAPED</t>
    <phoneticPr fontId="1" type="noConversion"/>
  </si>
  <si>
    <t>運費(本島)</t>
    <phoneticPr fontId="1" type="noConversion"/>
  </si>
  <si>
    <t>1. 垂直固定2000Q</t>
    <phoneticPr fontId="1" type="noConversion"/>
  </si>
  <si>
    <t>2. 2000Q連接太陽能板BOLD</t>
    <phoneticPr fontId="1" type="noConversion"/>
  </si>
  <si>
    <t>2000Q微型逆變器(防孤島+防逆流)</t>
    <phoneticPr fontId="1" type="noConversion"/>
  </si>
  <si>
    <t>太陽能+微逆 併網住宅電網說明：</t>
    <phoneticPr fontId="1" type="noConversion"/>
  </si>
  <si>
    <t>報價單編號：</t>
    <phoneticPr fontId="1" type="noConversion"/>
  </si>
  <si>
    <t>報價有限期：</t>
    <phoneticPr fontId="1" type="noConversion"/>
  </si>
  <si>
    <t>報價幣別：NTD</t>
    <phoneticPr fontId="1" type="noConversion"/>
  </si>
  <si>
    <t>製單日期：2024//</t>
    <phoneticPr fontId="1" type="noConversion"/>
  </si>
  <si>
    <t>總價(一次單筆滿300kW)</t>
    <phoneticPr fontId="1" type="noConversion"/>
  </si>
  <si>
    <t>BOLD 240W
(含背膠)</t>
    <phoneticPr fontId="1" type="noConversion"/>
  </si>
  <si>
    <t>總價(一次單筆滿600kW)</t>
    <phoneticPr fontId="1" type="noConversion"/>
  </si>
  <si>
    <t>300kW</t>
    <phoneticPr fontId="1" type="noConversion"/>
  </si>
  <si>
    <t>600kW</t>
    <phoneticPr fontId="1" type="noConversion"/>
  </si>
  <si>
    <t>太陽能板 BOLD 240W (含背膠)
太陽能板 BOLD 280W (含背膠)</t>
    <phoneticPr fontId="1" type="noConversion"/>
  </si>
  <si>
    <t>18,000,000.00-</t>
    <phoneticPr fontId="1" type="noConversion"/>
  </si>
  <si>
    <t>35,000,000.00-</t>
    <phoneticPr fontId="1" type="noConversion"/>
  </si>
  <si>
    <t>單年估計產生度數</t>
    <phoneticPr fontId="1" type="noConversion"/>
  </si>
  <si>
    <t>政府補助 3000</t>
    <phoneticPr fontId="1" type="noConversion"/>
  </si>
  <si>
    <t>kWh</t>
    <phoneticPr fontId="1" type="noConversion"/>
  </si>
  <si>
    <t>一年相對收入</t>
    <phoneticPr fontId="1" type="noConversion"/>
  </si>
  <si>
    <t>一年賣綠證收入
(需所得稅)</t>
    <phoneticPr fontId="1" type="noConversion"/>
  </si>
  <si>
    <t>一年省下電費
(免稅)</t>
    <phoneticPr fontId="1" type="noConversion"/>
  </si>
  <si>
    <t>TWD</t>
    <phoneticPr fontId="1" type="noConversion"/>
  </si>
  <si>
    <t>每1kW</t>
    <phoneticPr fontId="1" type="noConversion"/>
  </si>
  <si>
    <t>安裝系統</t>
    <phoneticPr fontId="1" type="noConversion"/>
  </si>
  <si>
    <t>遮雨線槽</t>
    <phoneticPr fontId="1" type="noConversion"/>
  </si>
  <si>
    <t>防水金屬浪管</t>
    <phoneticPr fontId="1" type="noConversion"/>
  </si>
  <si>
    <t>防水接頭</t>
    <phoneticPr fontId="1" type="noConversion"/>
  </si>
  <si>
    <t>220V插座轉接線 (歐規 轉 T型)
or
220V插座更換為歐規</t>
    <phoneticPr fontId="1" type="noConversion"/>
  </si>
  <si>
    <t>曉AKATSUKI 雙認證 PV線</t>
    <phoneticPr fontId="1" type="noConversion"/>
  </si>
  <si>
    <t>新北市加碼補助 15000</t>
    <phoneticPr fontId="1" type="noConversion"/>
  </si>
  <si>
    <t>台南市加碼補助 7500</t>
    <phoneticPr fontId="1" type="noConversion"/>
  </si>
  <si>
    <t>高雄市加碼補助 6000</t>
    <phoneticPr fontId="1" type="noConversion"/>
  </si>
  <si>
    <t>台東縣加碼補助 7000</t>
    <phoneticPr fontId="1" type="noConversion"/>
  </si>
  <si>
    <t>台北市加碼補助 18000</t>
    <phoneticPr fontId="1" type="noConversion"/>
  </si>
  <si>
    <t>E-mail：michael.liao@asiaped.com</t>
    <phoneticPr fontId="1" type="noConversion"/>
  </si>
  <si>
    <t>受報價公司/人：</t>
    <phoneticPr fontId="1" type="noConversion"/>
  </si>
  <si>
    <t>地址：台中市南區南平路236號7樓之5
網址：www.asiaped-bipv.com</t>
    <phoneticPr fontId="1" type="noConversion"/>
  </si>
  <si>
    <t>單年躉售收入
(需所得稅)</t>
    <phoneticPr fontId="1" type="noConversion"/>
  </si>
  <si>
    <t>NTD</t>
    <phoneticPr fontId="1" type="noConversion"/>
  </si>
  <si>
    <t>新北市政府加碼補助 15000</t>
    <phoneticPr fontId="1" type="noConversion"/>
  </si>
  <si>
    <t>台南市政府加碼補助 7500</t>
    <phoneticPr fontId="1" type="noConversion"/>
  </si>
  <si>
    <t>高雄市政府加碼補助 6000</t>
    <phoneticPr fontId="1" type="noConversion"/>
  </si>
  <si>
    <t>台東縣政府加碼補助 7000</t>
    <phoneticPr fontId="1" type="noConversion"/>
  </si>
  <si>
    <t>台北市政府加碼補助 18000</t>
    <phoneticPr fontId="1" type="noConversion"/>
  </si>
  <si>
    <t>嘉, 彰加碼補助 5000</t>
  </si>
  <si>
    <t>嘉, 彰加碼補助 5000</t>
    <phoneticPr fontId="1" type="noConversion"/>
  </si>
  <si>
    <t>含安裝(81000/kW)</t>
    <phoneticPr fontId="1" type="noConversion"/>
  </si>
  <si>
    <t>無安裝(73000/kW)</t>
    <phoneticPr fontId="1" type="noConversion"/>
  </si>
  <si>
    <t>嘉, 彰政府加碼補助 5000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</si>
</sst>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0_ "/>
    <numFmt numFmtId="178" formatCode="&quot;$&quot;#,##0.00"/>
    <numFmt numFmtId="179" formatCode="#,##0.00_ "/>
    <numFmt numFmtId="180" formatCode="0.00_);[Red]\(0.00\)"/>
    <numFmt numFmtId="181" formatCode="0_);[Red]\(0\)"/>
  </numFmts>
  <fonts count="13" x14ac:knownFonts="1">
    <font>
      <sz val="11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b/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2"/>
      <scheme val="minor"/>
    </font>
    <font>
      <sz val="12"/>
      <color rgb="FFFF0000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1"/>
      <color theme="1"/>
      <name val="微軟正黑體"/>
      <family val="2"/>
      <charset val="136"/>
    </font>
    <font>
      <b/>
      <sz val="11"/>
      <color theme="1"/>
      <name val="微軟正黑體"/>
      <family val="2"/>
      <charset val="136"/>
    </font>
    <font>
      <b/>
      <sz val="20"/>
      <name val="微軟正黑體"/>
      <family val="2"/>
      <charset val="136"/>
    </font>
    <font>
      <sz val="11"/>
      <name val="微軟正黑體"/>
      <family val="2"/>
      <charset val="136"/>
    </font>
    <font>
      <sz val="9"/>
      <name val="微軟正黑體"/>
      <family val="2"/>
      <charset val="136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176" fontId="4" fillId="0" borderId="0" xfId="0" applyNumberFormat="1" applyFont="1" applyAlignment="1">
      <alignment horizontal="center"/>
    </xf>
    <xf numFmtId="0" fontId="2" fillId="0" borderId="0" xfId="0" applyFont="1" applyFill="1"/>
    <xf numFmtId="176" fontId="2" fillId="0" borderId="0" xfId="0" applyNumberFormat="1" applyFont="1" applyAlignment="1">
      <alignment horizontal="center"/>
    </xf>
    <xf numFmtId="0" fontId="0" fillId="0" borderId="0" xfId="0" applyFill="1" applyAlignment="1">
      <alignment horizontal="center"/>
    </xf>
    <xf numFmtId="177" fontId="2" fillId="0" borderId="0" xfId="0" applyNumberFormat="1" applyFont="1" applyAlignment="1">
      <alignment horizontal="center"/>
    </xf>
    <xf numFmtId="0" fontId="2" fillId="0" borderId="0" xfId="0" applyFont="1" applyAlignment="1">
      <alignment vertical="center"/>
    </xf>
    <xf numFmtId="176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76" fontId="2" fillId="0" borderId="0" xfId="0" applyNumberFormat="1" applyFont="1" applyAlignment="1">
      <alignment vertical="center"/>
    </xf>
    <xf numFmtId="176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8" fontId="0" fillId="0" borderId="0" xfId="0" applyNumberFormat="1"/>
    <xf numFmtId="0" fontId="2" fillId="0" borderId="0" xfId="0" applyFont="1" applyFill="1" applyAlignment="1">
      <alignment horizontal="center"/>
    </xf>
    <xf numFmtId="0" fontId="3" fillId="0" borderId="0" xfId="0" applyFont="1" applyFill="1"/>
    <xf numFmtId="0" fontId="0" fillId="0" borderId="0" xfId="0" applyFill="1"/>
    <xf numFmtId="0" fontId="2" fillId="0" borderId="0" xfId="0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center"/>
    </xf>
    <xf numFmtId="0" fontId="0" fillId="0" borderId="0" xfId="0" applyAlignment="1">
      <alignment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8" fillId="0" borderId="0" xfId="0" applyFont="1"/>
    <xf numFmtId="0" fontId="9" fillId="3" borderId="1" xfId="0" applyFont="1" applyFill="1" applyBorder="1" applyAlignment="1">
      <alignment horizontal="center" vertical="center"/>
    </xf>
    <xf numFmtId="0" fontId="8" fillId="0" borderId="0" xfId="0" applyFont="1" applyAlignment="1">
      <alignment wrapText="1"/>
    </xf>
    <xf numFmtId="0" fontId="9" fillId="2" borderId="0" xfId="0" applyFont="1" applyFill="1"/>
    <xf numFmtId="0" fontId="12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8" fillId="0" borderId="2" xfId="0" applyFont="1" applyBorder="1"/>
    <xf numFmtId="0" fontId="0" fillId="0" borderId="2" xfId="0" applyBorder="1"/>
    <xf numFmtId="0" fontId="5" fillId="0" borderId="0" xfId="0" applyFont="1" applyFill="1"/>
    <xf numFmtId="179" fontId="4" fillId="0" borderId="0" xfId="0" applyNumberFormat="1" applyFont="1" applyFill="1"/>
    <xf numFmtId="178" fontId="0" fillId="0" borderId="0" xfId="0" applyNumberFormat="1" applyFill="1"/>
    <xf numFmtId="178" fontId="2" fillId="0" borderId="0" xfId="0" applyNumberFormat="1" applyFont="1" applyFill="1" applyAlignment="1">
      <alignment horizontal="center" vertical="center"/>
    </xf>
    <xf numFmtId="179" fontId="4" fillId="0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80" fontId="2" fillId="0" borderId="0" xfId="0" applyNumberFormat="1" applyFont="1" applyAlignment="1">
      <alignment horizontal="right"/>
    </xf>
    <xf numFmtId="180" fontId="3" fillId="0" borderId="0" xfId="0" applyNumberFormat="1" applyFont="1" applyAlignment="1">
      <alignment horizontal="right"/>
    </xf>
    <xf numFmtId="180" fontId="2" fillId="0" borderId="0" xfId="0" applyNumberFormat="1" applyFont="1"/>
    <xf numFmtId="0" fontId="2" fillId="0" borderId="0" xfId="0" applyFont="1" applyAlignment="1">
      <alignment horizontal="center" vertical="center" wrapText="1"/>
    </xf>
    <xf numFmtId="180" fontId="2" fillId="0" borderId="0" xfId="0" applyNumberFormat="1" applyFont="1" applyAlignment="1">
      <alignment horizontal="right" vertical="center"/>
    </xf>
    <xf numFmtId="180" fontId="2" fillId="0" borderId="0" xfId="0" applyNumberFormat="1" applyFont="1" applyAlignment="1">
      <alignment vertical="center"/>
    </xf>
    <xf numFmtId="176" fontId="5" fillId="0" borderId="0" xfId="0" applyNumberFormat="1" applyFont="1" applyAlignment="1">
      <alignment horizontal="center"/>
    </xf>
    <xf numFmtId="181" fontId="4" fillId="2" borderId="0" xfId="0" applyNumberFormat="1" applyFont="1" applyFill="1" applyAlignment="1">
      <alignment horizontal="center" vertical="center"/>
    </xf>
    <xf numFmtId="181" fontId="6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176" fontId="7" fillId="0" borderId="0" xfId="0" applyNumberFormat="1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181" fontId="4" fillId="2" borderId="0" xfId="0" applyNumberFormat="1" applyFont="1" applyFill="1" applyAlignment="1">
      <alignment horizontal="center"/>
    </xf>
    <xf numFmtId="181" fontId="6" fillId="2" borderId="0" xfId="0" applyNumberFormat="1" applyFont="1" applyFill="1" applyAlignment="1">
      <alignment horizontal="center"/>
    </xf>
    <xf numFmtId="177" fontId="3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17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4" fontId="12" fillId="0" borderId="0" xfId="0" applyNumberFormat="1" applyFont="1" applyBorder="1" applyAlignment="1">
      <alignment horizontal="left" vertical="center"/>
    </xf>
    <xf numFmtId="4" fontId="12" fillId="0" borderId="0" xfId="0" applyNumberFormat="1" applyFont="1" applyAlignment="1">
      <alignment horizontal="left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6" Type="http://schemas.openxmlformats.org/officeDocument/2006/relationships/image" Target="../media/image9.JP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3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19050</xdr:rowOff>
    </xdr:from>
    <xdr:to>
      <xdr:col>4</xdr:col>
      <xdr:colOff>478923</xdr:colOff>
      <xdr:row>16</xdr:row>
      <xdr:rowOff>20197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ED0D2846-1118-83D5-E291-175A849D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3550"/>
          <a:ext cx="3060198" cy="180137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19050</xdr:rowOff>
    </xdr:from>
    <xdr:to>
      <xdr:col>9</xdr:col>
      <xdr:colOff>621798</xdr:colOff>
      <xdr:row>16</xdr:row>
      <xdr:rowOff>20197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D36E3C24-9EA2-CC4D-F4EB-23DFE239D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733550"/>
          <a:ext cx="3060198" cy="1801372"/>
        </a:xfrm>
        <a:prstGeom prst="rect">
          <a:avLst/>
        </a:prstGeom>
      </xdr:spPr>
    </xdr:pic>
    <xdr:clientData/>
  </xdr:twoCellAnchor>
  <xdr:twoCellAnchor editAs="oneCell">
    <xdr:from>
      <xdr:col>9</xdr:col>
      <xdr:colOff>857249</xdr:colOff>
      <xdr:row>0</xdr:row>
      <xdr:rowOff>342899</xdr:rowOff>
    </xdr:from>
    <xdr:to>
      <xdr:col>19</xdr:col>
      <xdr:colOff>481694</xdr:colOff>
      <xdr:row>16</xdr:row>
      <xdr:rowOff>66675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91343806-3C1E-4D0A-B76E-680546F66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86524" y="342899"/>
          <a:ext cx="5968095" cy="32385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21</xdr:row>
      <xdr:rowOff>171450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535390-DB7D-44A6-A83C-EC2931F0C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12</xdr:col>
      <xdr:colOff>457200</xdr:colOff>
      <xdr:row>43</xdr:row>
      <xdr:rowOff>171450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9AD57D9D-4F80-42DB-B57C-90BB77613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055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457200</xdr:colOff>
      <xdr:row>65</xdr:row>
      <xdr:rowOff>171450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819DDCEA-F868-4B42-9141-122E93E9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011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12</xdr:col>
      <xdr:colOff>457200</xdr:colOff>
      <xdr:row>87</xdr:row>
      <xdr:rowOff>171450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7BCDC4BA-CEBF-4FD0-99CB-260FD664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0165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457200</xdr:colOff>
      <xdr:row>109</xdr:row>
      <xdr:rowOff>171450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FA153E24-43F0-4441-8FF7-219D227B1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022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12</xdr:col>
      <xdr:colOff>457200</xdr:colOff>
      <xdr:row>131</xdr:row>
      <xdr:rowOff>171450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923E2B2E-78AE-401A-94D5-E7D5AD023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02750"/>
          <a:ext cx="7772400" cy="4371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347384</xdr:colOff>
      <xdr:row>7</xdr:row>
      <xdr:rowOff>168088</xdr:rowOff>
    </xdr:from>
    <xdr:to>
      <xdr:col>7</xdr:col>
      <xdr:colOff>215771</xdr:colOff>
      <xdr:row>16</xdr:row>
      <xdr:rowOff>67235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E42B32D8-0D72-4E74-A7C9-DC04908FC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19" y="2129117"/>
          <a:ext cx="2288858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1</xdr:row>
      <xdr:rowOff>0</xdr:rowOff>
    </xdr:from>
    <xdr:to>
      <xdr:col>7</xdr:col>
      <xdr:colOff>235324</xdr:colOff>
      <xdr:row>7</xdr:row>
      <xdr:rowOff>145677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A5F67132-9F62-4FA2-B78E-99D4F9A69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0" y="201706"/>
          <a:ext cx="3810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4323</xdr:colOff>
      <xdr:row>7</xdr:row>
      <xdr:rowOff>150001</xdr:rowOff>
    </xdr:from>
    <xdr:to>
      <xdr:col>3</xdr:col>
      <xdr:colOff>508588</xdr:colOff>
      <xdr:row>15</xdr:row>
      <xdr:rowOff>82262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68400214-5C18-47A8-826E-711377ADA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23" y="2111030"/>
          <a:ext cx="1714500" cy="154590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2658086</xdr:colOff>
      <xdr:row>6</xdr:row>
      <xdr:rowOff>107255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678D6261-0F13-1310-6581-33D12D75C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06971" y="403412"/>
          <a:ext cx="2658086" cy="14631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11</xdr:col>
      <xdr:colOff>2645893</xdr:colOff>
      <xdr:row>15</xdr:row>
      <xdr:rowOff>26840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2A53F70B-AD92-42BA-B038-87A62D7AB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06971" y="2162735"/>
          <a:ext cx="2645893" cy="1438781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8</xdr:row>
      <xdr:rowOff>1</xdr:rowOff>
    </xdr:from>
    <xdr:to>
      <xdr:col>16</xdr:col>
      <xdr:colOff>222837</xdr:colOff>
      <xdr:row>15</xdr:row>
      <xdr:rowOff>22412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CFC2E69A-CC68-4BA5-88B8-02F56EE8A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73972" y="2162736"/>
          <a:ext cx="2643306" cy="1434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2212F-1CD0-4770-A38C-D28990AFAA3E}">
  <dimension ref="A1:J8"/>
  <sheetViews>
    <sheetView workbookViewId="0">
      <selection activeCell="M17" sqref="M17"/>
    </sheetView>
  </sheetViews>
  <sheetFormatPr defaultRowHeight="15.75" x14ac:dyDescent="0.25"/>
  <cols>
    <col min="3" max="3" width="11.28515625" customWidth="1"/>
    <col min="10" max="10" width="12.85546875" customWidth="1"/>
  </cols>
  <sheetData>
    <row r="1" spans="1:10" ht="27" x14ac:dyDescent="0.25">
      <c r="A1" s="73" t="s">
        <v>49</v>
      </c>
      <c r="B1" s="73"/>
      <c r="C1" s="73"/>
      <c r="D1" s="73"/>
      <c r="E1" s="73"/>
      <c r="F1" s="73"/>
      <c r="G1" s="73"/>
      <c r="H1" s="73"/>
      <c r="I1" s="73"/>
      <c r="J1" s="73"/>
    </row>
    <row r="2" spans="1:10" ht="29.25" customHeight="1" x14ac:dyDescent="0.25">
      <c r="A2" s="74" t="s">
        <v>88</v>
      </c>
      <c r="B2" s="75"/>
      <c r="C2" s="75"/>
      <c r="D2" s="75"/>
      <c r="E2" s="75"/>
      <c r="F2" s="75"/>
      <c r="G2" s="75"/>
      <c r="H2" s="75"/>
      <c r="I2" s="75"/>
      <c r="J2" s="75"/>
    </row>
    <row r="3" spans="1:10" x14ac:dyDescent="0.25">
      <c r="A3" s="34" t="s">
        <v>58</v>
      </c>
      <c r="B3" s="34"/>
      <c r="C3" s="34"/>
      <c r="D3" s="34" t="s">
        <v>55</v>
      </c>
      <c r="E3" s="34"/>
      <c r="F3" s="34"/>
    </row>
    <row r="4" spans="1:10" x14ac:dyDescent="0.25">
      <c r="A4" s="76" t="s">
        <v>37</v>
      </c>
      <c r="B4" s="76"/>
      <c r="C4" s="76"/>
      <c r="D4" s="76" t="s">
        <v>38</v>
      </c>
      <c r="E4" s="76"/>
      <c r="F4" s="76"/>
      <c r="G4" s="76"/>
      <c r="H4" s="76" t="s">
        <v>36</v>
      </c>
      <c r="I4" s="76"/>
      <c r="J4" s="76"/>
    </row>
    <row r="5" spans="1:10" x14ac:dyDescent="0.25">
      <c r="A5" s="76" t="s">
        <v>39</v>
      </c>
      <c r="B5" s="76"/>
      <c r="C5" s="76"/>
      <c r="D5" s="76" t="s">
        <v>40</v>
      </c>
      <c r="E5" s="76"/>
      <c r="F5" s="76"/>
      <c r="G5" s="76"/>
      <c r="H5" s="76" t="s">
        <v>86</v>
      </c>
      <c r="I5" s="76"/>
      <c r="J5" s="76"/>
    </row>
    <row r="6" spans="1:10" x14ac:dyDescent="0.25">
      <c r="A6" s="78" t="s">
        <v>87</v>
      </c>
      <c r="B6" s="78"/>
      <c r="C6" s="78"/>
      <c r="D6" s="78" t="s">
        <v>57</v>
      </c>
      <c r="E6" s="78"/>
      <c r="F6" s="78"/>
      <c r="G6" s="78"/>
      <c r="H6" s="78" t="s">
        <v>56</v>
      </c>
      <c r="I6" s="78"/>
      <c r="J6" s="78"/>
    </row>
    <row r="7" spans="1:10" x14ac:dyDescent="0.25">
      <c r="A7" s="77" t="s">
        <v>41</v>
      </c>
      <c r="B7" s="77"/>
      <c r="C7" s="77"/>
      <c r="D7" s="77"/>
      <c r="E7" s="77"/>
      <c r="F7" s="77"/>
      <c r="G7" s="77"/>
      <c r="H7" s="77"/>
      <c r="I7" s="77"/>
      <c r="J7" s="77"/>
    </row>
    <row r="8" spans="1:10" x14ac:dyDescent="0.25">
      <c r="A8" s="77"/>
      <c r="B8" s="77"/>
      <c r="C8" s="77"/>
      <c r="D8" s="77"/>
      <c r="E8" s="77"/>
      <c r="F8" s="77"/>
      <c r="G8" s="77"/>
      <c r="H8" s="77"/>
      <c r="I8" s="77"/>
      <c r="J8" s="77"/>
    </row>
  </sheetData>
  <mergeCells count="13">
    <mergeCell ref="A7:J7"/>
    <mergeCell ref="A8:J8"/>
    <mergeCell ref="A5:C5"/>
    <mergeCell ref="D5:G5"/>
    <mergeCell ref="H5:J5"/>
    <mergeCell ref="A6:C6"/>
    <mergeCell ref="D6:G6"/>
    <mergeCell ref="H6:J6"/>
    <mergeCell ref="A1:J1"/>
    <mergeCell ref="A2:J2"/>
    <mergeCell ref="H4:J4"/>
    <mergeCell ref="A4:C4"/>
    <mergeCell ref="D4:G4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15D6B-8FC4-4319-913B-1437F021E6D2}">
  <dimension ref="A1"/>
  <sheetViews>
    <sheetView topLeftCell="A31" workbookViewId="0"/>
  </sheetViews>
  <sheetFormatPr defaultRowHeight="15.75" x14ac:dyDescent="0.25"/>
  <sheetData/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42"/>
  <sheetViews>
    <sheetView tabSelected="1" topLeftCell="A19" zoomScale="75" zoomScaleNormal="75" workbookViewId="0">
      <selection activeCell="D29" sqref="D29"/>
    </sheetView>
  </sheetViews>
  <sheetFormatPr defaultRowHeight="15.75" x14ac:dyDescent="0.25"/>
  <cols>
    <col min="1" max="1" width="28.140625" bestFit="1" customWidth="1"/>
    <col min="2" max="3" width="24.7109375" bestFit="1" customWidth="1"/>
    <col min="4" max="4" width="27" bestFit="1" customWidth="1"/>
    <col min="5" max="5" width="28.7109375" bestFit="1" customWidth="1"/>
    <col min="6" max="6" width="39.140625" bestFit="1" customWidth="1"/>
    <col min="7" max="7" width="21.85546875" bestFit="1" customWidth="1"/>
    <col min="8" max="8" width="5.42578125" customWidth="1"/>
    <col min="9" max="9" width="18.28515625" bestFit="1" customWidth="1"/>
    <col min="10" max="10" width="8.7109375" bestFit="1" customWidth="1"/>
    <col min="11" max="12" width="9.140625" bestFit="1" customWidth="1"/>
    <col min="13" max="13" width="8.7109375" bestFit="1" customWidth="1"/>
    <col min="14" max="14" width="15.140625" bestFit="1" customWidth="1"/>
    <col min="15" max="15" width="18" bestFit="1" customWidth="1"/>
  </cols>
  <sheetData>
    <row r="1" spans="1:13" ht="33" x14ac:dyDescent="0.25">
      <c r="A1" s="26" t="s">
        <v>26</v>
      </c>
      <c r="B1" s="26" t="s">
        <v>8</v>
      </c>
      <c r="C1" s="26" t="s">
        <v>9</v>
      </c>
      <c r="D1" s="4"/>
      <c r="E1" s="26" t="s">
        <v>7</v>
      </c>
      <c r="F1" s="28" t="s">
        <v>21</v>
      </c>
      <c r="G1" s="28" t="s">
        <v>22</v>
      </c>
      <c r="H1" s="4"/>
      <c r="I1" s="28" t="s">
        <v>19</v>
      </c>
      <c r="J1" s="53" t="b">
        <f>IF(AND(A15&lt;121,D18&lt;0), A15*1.68)</f>
        <v>0</v>
      </c>
      <c r="K1" s="53" t="b">
        <f>IF(AND(A15&gt;120,D18&lt;0), 120*1.68+(A15-120)*2.45)</f>
        <v>0</v>
      </c>
      <c r="L1" s="53" t="b">
        <f>IF(AND(A15&gt;120,D18&gt;=0, D18&lt;121), (B4-F2))</f>
        <v>0</v>
      </c>
      <c r="M1" s="51"/>
    </row>
    <row r="2" spans="1:13" ht="16.5" x14ac:dyDescent="0.25">
      <c r="A2" s="13" t="s">
        <v>1</v>
      </c>
      <c r="B2" s="12" t="b">
        <f>IF(A15&lt;121, A15*1.68)</f>
        <v>0</v>
      </c>
      <c r="C2" s="12" t="b">
        <f>IF(A15&lt;121, A15*1.68)</f>
        <v>0</v>
      </c>
      <c r="D2" s="11"/>
      <c r="E2" s="25">
        <v>2</v>
      </c>
      <c r="F2" s="12" t="b">
        <f>IF(AND(D18&lt;121,D18&gt;0), D18*1.68)</f>
        <v>0</v>
      </c>
      <c r="G2" s="12" t="b">
        <f>IF(AND(E18&lt;121,E18&gt;0), E18*1.68)</f>
        <v>0</v>
      </c>
      <c r="H2" s="11"/>
      <c r="I2" s="11"/>
      <c r="J2" s="53"/>
      <c r="K2" s="53"/>
      <c r="L2" s="53"/>
      <c r="M2" s="51"/>
    </row>
    <row r="3" spans="1:13" ht="16.5" x14ac:dyDescent="0.25">
      <c r="A3" s="13"/>
      <c r="B3" s="14"/>
      <c r="C3" s="14"/>
      <c r="D3" s="11"/>
      <c r="E3" s="25" t="s">
        <v>0</v>
      </c>
      <c r="F3" s="14"/>
      <c r="G3" s="12"/>
      <c r="H3" s="11"/>
      <c r="I3" s="11"/>
      <c r="J3" s="53" t="b">
        <f>IF(AND(A15&gt;330, A15&lt;501,D18&lt;121), (B6-F2))</f>
        <v>0</v>
      </c>
      <c r="K3" s="53" t="b">
        <f>IF(AND(A15&gt;330,A15&lt;501,D18&gt;120, D18&lt;331), (B6-F4))</f>
        <v>0</v>
      </c>
      <c r="L3" s="53" t="b">
        <f>IF(AND(A15&gt;330,A15&lt;501,D18&gt;120, D18&gt;330, D18&lt;501), (B6-F6))</f>
        <v>0</v>
      </c>
      <c r="M3" s="51"/>
    </row>
    <row r="4" spans="1:13" ht="16.5" x14ac:dyDescent="0.25">
      <c r="A4" s="13" t="s">
        <v>3</v>
      </c>
      <c r="B4" s="12" t="b">
        <f>IF(AND(A15&gt;120, A15&lt;331), (A15-120)*2.45+120*1.68)</f>
        <v>0</v>
      </c>
      <c r="C4" s="12" t="b">
        <f>IF(AND(A18&gt;120,A18&lt;331), (A18-120)*2.16+120*1.68)</f>
        <v>0</v>
      </c>
      <c r="D4" s="11"/>
      <c r="E4" s="11"/>
      <c r="F4" s="12" t="b">
        <f>IF(AND(D18&gt;120, D18&lt;331), (D18-120)*2.45+120*1.68)</f>
        <v>0</v>
      </c>
      <c r="G4" s="12" t="b">
        <f>IF(AND(E18&gt;120,E18&lt;331), (E18-120)*2.16+120*1.68)</f>
        <v>0</v>
      </c>
      <c r="H4" s="11"/>
      <c r="I4" s="11"/>
      <c r="J4" s="53"/>
      <c r="K4" s="53"/>
      <c r="L4" s="53"/>
      <c r="M4" s="51"/>
    </row>
    <row r="5" spans="1:13" ht="16.5" x14ac:dyDescent="0.25">
      <c r="A5" s="13"/>
      <c r="B5" s="14"/>
      <c r="C5" s="14"/>
      <c r="D5" s="11"/>
      <c r="E5" s="11"/>
      <c r="F5" s="14"/>
      <c r="G5" s="14"/>
      <c r="H5" s="11"/>
      <c r="I5" s="11"/>
      <c r="J5" s="53" t="b">
        <f>IF(AND(A15&gt;500,A15&lt;701,D18&lt;331, D18&gt;120), (B8-F4))</f>
        <v>0</v>
      </c>
      <c r="K5" s="53" t="b">
        <f>IF(AND(A15&gt;500,A15&lt;701,D18&gt;330, D18&lt;501), (B8-F6))</f>
        <v>0</v>
      </c>
      <c r="L5" s="53" t="b">
        <f>IF(AND(A15&gt;500,A15&lt;701,D18&gt;500, D18&lt;701), (B8-F8))</f>
        <v>0</v>
      </c>
      <c r="M5" s="51"/>
    </row>
    <row r="6" spans="1:13" ht="16.5" x14ac:dyDescent="0.25">
      <c r="A6" s="13" t="s">
        <v>2</v>
      </c>
      <c r="B6" s="12" t="b">
        <f>IF(AND(A15&gt;330,A15&lt;501), (A15-330)*3.7+120*1.68+210*2.45)</f>
        <v>0</v>
      </c>
      <c r="C6" s="12" t="b">
        <f>IF(AND(A18&gt;330,A18&lt;501), (A18-330)*3.03+120*1.68+210*2.16)</f>
        <v>0</v>
      </c>
      <c r="D6" s="11"/>
      <c r="E6" s="11"/>
      <c r="F6" s="12" t="b">
        <f>IF(AND(D18&gt;330,D18&lt;501), (D18-330)*3.7+120*1.68+210*2.45)</f>
        <v>0</v>
      </c>
      <c r="G6" s="12">
        <f>IF(AND(E18&gt;330,E18&lt;501), (E18-330)*3.03+120*1.68+210*2.16)</f>
        <v>1058.6747999999998</v>
      </c>
      <c r="H6" s="11"/>
      <c r="I6" s="11"/>
      <c r="J6" s="53"/>
      <c r="K6" s="53"/>
      <c r="L6" s="53"/>
      <c r="M6" s="51"/>
    </row>
    <row r="7" spans="1:13" ht="16.5" x14ac:dyDescent="0.25">
      <c r="A7" s="13"/>
      <c r="B7" s="14"/>
      <c r="C7" s="14"/>
      <c r="D7" s="11"/>
      <c r="E7" s="11"/>
      <c r="F7" s="14"/>
      <c r="G7" s="14"/>
      <c r="H7" s="11"/>
      <c r="I7" s="11"/>
      <c r="J7" s="53" t="b">
        <f>IF(AND(A15&gt;700,A15&lt;1001,D18&lt;501, D18&gt;330), (B10-F6))</f>
        <v>0</v>
      </c>
      <c r="K7" s="53">
        <f>IF(AND(A15&gt;700,A15&lt;1001,D18&gt;500, D18&lt;701), (B10-F8))</f>
        <v>1313.6736000000001</v>
      </c>
      <c r="L7" s="53" t="b">
        <f>IF(AND(A15&gt;700,A15&lt;1001,D18&gt;700, D18&lt;1001), (B10-F10))</f>
        <v>0</v>
      </c>
      <c r="M7" s="51"/>
    </row>
    <row r="8" spans="1:13" ht="16.5" x14ac:dyDescent="0.25">
      <c r="A8" s="13" t="s">
        <v>4</v>
      </c>
      <c r="B8" s="12" t="b">
        <f>IF(AND(A15&gt;500,A15&lt;701), (A15-500)*5.04+120*1.68+210*2.45+170*3.7)</f>
        <v>0</v>
      </c>
      <c r="C8" s="12">
        <f>IF(AND(A18&gt;500,A18&lt;701), (A18-500)*4.14+120*1.68+210*2.16+170*3.03)</f>
        <v>1998.2999999999997</v>
      </c>
      <c r="D8" s="11"/>
      <c r="E8" s="11"/>
      <c r="F8" s="12">
        <f>IF(AND(D18&gt;500,D18&lt;701), (D18-500)*5.04+120*1.68+210*2.45+170*3.7)</f>
        <v>1663.4263999999998</v>
      </c>
      <c r="G8" s="12" t="b">
        <f>IF(AND(E18&gt;500,E18&lt;701), (E18-500)*4.14+120*1.68+210*2.16+170*3.03)</f>
        <v>0</v>
      </c>
      <c r="H8" s="11"/>
      <c r="I8" s="11"/>
      <c r="J8" s="53"/>
      <c r="K8" s="53"/>
      <c r="L8" s="53"/>
      <c r="M8" s="51"/>
    </row>
    <row r="9" spans="1:13" ht="16.5" x14ac:dyDescent="0.25">
      <c r="A9" s="13"/>
      <c r="B9" s="14"/>
      <c r="C9" s="14"/>
      <c r="D9" s="11"/>
      <c r="E9" s="11"/>
      <c r="F9" s="14"/>
      <c r="G9" s="14"/>
      <c r="H9" s="11"/>
      <c r="I9" s="11"/>
      <c r="J9" s="53" t="b">
        <f>IF(AND(A15&gt;1000,D18&lt;701, D18&gt;500), (B12-F8))</f>
        <v>0</v>
      </c>
      <c r="K9" s="53" t="b">
        <f>IF(AND(A15&gt;1000,D18&lt;1001, D18&gt;700), (B12-F10))</f>
        <v>0</v>
      </c>
      <c r="L9" s="53" t="b">
        <f>IF(AND(A15&gt;1000,D18&gt;1000), (B12-F12))</f>
        <v>0</v>
      </c>
      <c r="M9" s="51"/>
    </row>
    <row r="10" spans="1:13" ht="16.5" x14ac:dyDescent="0.25">
      <c r="A10" s="13" t="s">
        <v>5</v>
      </c>
      <c r="B10" s="12">
        <f>IF(AND(A15&gt;700,A15&lt;1001), (A15-700)*6.24+120*1.68+210*2.45+170*3.7+200*5.04)</f>
        <v>2977.1</v>
      </c>
      <c r="C10" s="12" t="b">
        <f>IF(AND(A18&gt;700,A18&lt;1001), (A18-700)*5.07+120*1.68+210*2.16+170*3.03+200*4.14)</f>
        <v>0</v>
      </c>
      <c r="D10" s="11"/>
      <c r="E10" s="11"/>
      <c r="F10" s="12" t="b">
        <f>IF(AND(D18&gt;700,D18&lt;1001), (D18-700)*6.24+120*1.68+210*2.45+170*3.7+200*5.04)</f>
        <v>0</v>
      </c>
      <c r="G10" s="12" t="b">
        <f>IF(AND(E18&gt;700,E18&lt;1001), (E18-700)*5.07+120*1.68+210*2.16+170*3.03+200*4.14)</f>
        <v>0</v>
      </c>
      <c r="H10" s="11"/>
      <c r="I10" s="11"/>
      <c r="J10" s="53"/>
      <c r="K10" s="53"/>
      <c r="L10" s="53"/>
      <c r="M10" s="51"/>
    </row>
    <row r="11" spans="1:13" ht="16.5" x14ac:dyDescent="0.25">
      <c r="A11" s="13"/>
      <c r="B11" s="14"/>
      <c r="C11" s="14"/>
      <c r="D11" s="11"/>
      <c r="E11" s="11"/>
      <c r="F11" s="14"/>
      <c r="G11" s="14"/>
      <c r="H11" s="11"/>
      <c r="I11" s="11"/>
      <c r="J11" s="53"/>
      <c r="K11" s="53"/>
      <c r="L11" s="53"/>
      <c r="M11" s="51"/>
    </row>
    <row r="12" spans="1:13" ht="16.5" x14ac:dyDescent="0.25">
      <c r="A12" s="13" t="s">
        <v>6</v>
      </c>
      <c r="B12" s="12" t="b">
        <f>IF(A15&gt;1000, (A15-1000)*8.46+120*1.68+210*2.45+170*3.7+200*5.04+300*6.24)</f>
        <v>0</v>
      </c>
      <c r="C12" s="12" t="b">
        <f>IF(A18&gt;1000, (A18-1000)*6.63+120*1.68+210*2.16+170*3.03+200*4.14+300*5.07)</f>
        <v>0</v>
      </c>
      <c r="D12" s="11"/>
      <c r="E12" s="11"/>
      <c r="F12" s="12" t="b">
        <f>IF(D18&gt;1000, (D18-1000)*8.46+120*1.68+210*2.45+170*3.7+200*5.04+300*6.24)</f>
        <v>0</v>
      </c>
      <c r="G12" s="12" t="b">
        <f>IF(E18&gt;1000, (E18-1000)*6.63+120*1.68+210*2.16+170*3.03+200*4.14+300*5.07)</f>
        <v>0</v>
      </c>
      <c r="H12" s="11"/>
      <c r="I12" s="11"/>
      <c r="J12" s="53"/>
      <c r="K12" s="53"/>
      <c r="L12" s="53"/>
      <c r="M12" s="51"/>
    </row>
    <row r="13" spans="1:13" ht="16.5" x14ac:dyDescent="0.25">
      <c r="A13" s="27"/>
      <c r="B13" s="11"/>
      <c r="C13" s="11"/>
      <c r="D13" s="13"/>
      <c r="E13" s="11"/>
      <c r="F13" s="11"/>
      <c r="G13" s="11"/>
      <c r="H13" s="11"/>
      <c r="I13" s="11"/>
      <c r="J13" s="53"/>
      <c r="K13" s="53"/>
      <c r="L13" s="53"/>
      <c r="M13" s="51"/>
    </row>
    <row r="14" spans="1:13" ht="35.25" customHeight="1" x14ac:dyDescent="0.25">
      <c r="A14" s="28" t="s">
        <v>27</v>
      </c>
      <c r="B14" s="11"/>
      <c r="C14" s="11"/>
      <c r="D14" s="28" t="s">
        <v>33</v>
      </c>
      <c r="E14" s="28" t="s">
        <v>32</v>
      </c>
      <c r="F14" s="28" t="s">
        <v>67</v>
      </c>
      <c r="G14" s="11"/>
      <c r="H14" s="11"/>
      <c r="I14" s="28" t="s">
        <v>20</v>
      </c>
      <c r="J14" s="53" t="b">
        <f>IF(AND(A18&lt;121,E18&lt;0), A18*1.68)</f>
        <v>0</v>
      </c>
      <c r="K14" s="53" t="b">
        <f>IF(AND(A18&gt;120,E18&lt;0), 120*1.68+(A18-120)*2.16)</f>
        <v>0</v>
      </c>
      <c r="L14" s="53" t="b">
        <f>IF(AND(A18&gt;120,E18&gt;=0, E18&lt;121), (C4-G2))</f>
        <v>0</v>
      </c>
      <c r="M14" s="54" t="b">
        <f>IF(AND(A18&gt;120,E18&gt;=0, E18&gt;120, E18&lt;331), (C4-G4))</f>
        <v>0</v>
      </c>
    </row>
    <row r="15" spans="1:13" ht="16.5" x14ac:dyDescent="0.25">
      <c r="A15" s="25">
        <v>800</v>
      </c>
      <c r="B15" s="11"/>
      <c r="C15" s="11"/>
      <c r="D15" s="15">
        <f>E15*31</f>
        <v>236.84</v>
      </c>
      <c r="E15" s="15">
        <f>E2*4*0.955</f>
        <v>7.64</v>
      </c>
      <c r="F15" s="55">
        <f>E15*365</f>
        <v>2788.6</v>
      </c>
      <c r="G15" s="11"/>
      <c r="H15" s="11"/>
      <c r="I15" s="11"/>
      <c r="J15" s="53"/>
      <c r="K15" s="53"/>
      <c r="L15" s="53"/>
      <c r="M15" s="51"/>
    </row>
    <row r="16" spans="1:13" ht="16.5" x14ac:dyDescent="0.25">
      <c r="A16" s="25" t="s">
        <v>69</v>
      </c>
      <c r="B16" s="11"/>
      <c r="C16" s="11"/>
      <c r="D16" s="11"/>
      <c r="E16" s="11"/>
      <c r="F16" s="11"/>
      <c r="G16" s="11"/>
      <c r="H16" s="11"/>
      <c r="I16" s="11"/>
      <c r="J16" s="53" t="b">
        <f>IF(AND(A18&gt;330,A18&lt;120,E18&lt;121), (C6-G4))</f>
        <v>0</v>
      </c>
      <c r="K16" s="53" t="b">
        <f>IF(AND(A18&gt;330,E18&gt;120, E18&lt;331), (C6-G4))</f>
        <v>0</v>
      </c>
      <c r="L16" s="53" t="b">
        <f>IF(AND(A18&gt;330, A18&lt;501,E18&gt;120, E18&gt;330, E18&lt;501), (C6-G6))</f>
        <v>0</v>
      </c>
      <c r="M16" s="51"/>
    </row>
    <row r="17" spans="1:13" ht="35.25" customHeight="1" x14ac:dyDescent="0.25">
      <c r="A17" s="28" t="s">
        <v>28</v>
      </c>
      <c r="B17" s="11"/>
      <c r="C17" s="11"/>
      <c r="D17" s="28" t="s">
        <v>34</v>
      </c>
      <c r="E17" s="28" t="s">
        <v>35</v>
      </c>
      <c r="F17" s="26" t="s">
        <v>13</v>
      </c>
      <c r="G17" s="11"/>
      <c r="H17" s="11"/>
      <c r="I17" s="11"/>
      <c r="J17" s="53"/>
      <c r="K17" s="53"/>
      <c r="L17" s="53"/>
      <c r="M17" s="51"/>
    </row>
    <row r="18" spans="1:13" ht="16.5" x14ac:dyDescent="0.25">
      <c r="A18" s="25">
        <v>700</v>
      </c>
      <c r="B18" s="11"/>
      <c r="C18" s="11"/>
      <c r="D18" s="16">
        <f>A15-D15</f>
        <v>563.16</v>
      </c>
      <c r="E18" s="16">
        <f>A18-D15</f>
        <v>463.15999999999997</v>
      </c>
      <c r="F18" s="15">
        <f>D15*(850-9)/1000</f>
        <v>199.18244000000001</v>
      </c>
      <c r="G18" s="11"/>
      <c r="H18" s="11"/>
      <c r="I18" s="11"/>
      <c r="J18" s="53" t="b">
        <f>IF(AND(A18&gt;500, A18&lt;701, E18&lt;331, E18&gt;120), (C8-G4))</f>
        <v>0</v>
      </c>
      <c r="K18" s="53">
        <f>IF(AND(A18&gt;500,A18&lt;701, E18&lt;501, E18&gt;330), (C8-G6))</f>
        <v>939.62519999999995</v>
      </c>
      <c r="L18" s="53" t="b">
        <f>IF(AND(A18&gt;500,A18&lt;701,E18&gt;500, E18&lt;701), (C8-G8))</f>
        <v>0</v>
      </c>
      <c r="M18" s="51"/>
    </row>
    <row r="19" spans="1:13" ht="16.5" x14ac:dyDescent="0.25">
      <c r="A19" s="25" t="s">
        <v>69</v>
      </c>
      <c r="B19" s="11"/>
      <c r="C19" s="11"/>
      <c r="D19" s="11"/>
      <c r="E19" s="11"/>
      <c r="F19" s="11"/>
      <c r="G19" s="11"/>
      <c r="H19" s="11"/>
      <c r="I19" s="11"/>
      <c r="J19" s="53"/>
      <c r="K19" s="53"/>
      <c r="L19" s="53"/>
      <c r="M19" s="51"/>
    </row>
    <row r="20" spans="1:13" ht="33" x14ac:dyDescent="0.25">
      <c r="A20" s="11"/>
      <c r="B20" s="26" t="s">
        <v>70</v>
      </c>
      <c r="C20" s="28" t="s">
        <v>71</v>
      </c>
      <c r="D20" s="28" t="s">
        <v>72</v>
      </c>
      <c r="E20" s="28" t="s">
        <v>23</v>
      </c>
      <c r="F20" s="28" t="s">
        <v>24</v>
      </c>
      <c r="G20" s="11"/>
      <c r="H20" s="11"/>
      <c r="I20" s="11"/>
      <c r="J20" s="53" t="b">
        <f>IF(AND(A18&gt;700,A18&lt;1001,E18&lt;501, E18&gt;330), (C10-G6))</f>
        <v>0</v>
      </c>
      <c r="K20" s="53" t="b">
        <f>IF(AND(A18&gt;700,A18&lt;1001,E18&gt;500, E18&lt;701), (C10-G8))</f>
        <v>0</v>
      </c>
      <c r="L20" s="53" t="b">
        <f>IF(AND(A18&gt;700,A18&lt;1001,E18&gt;700,E18&lt;1001), (C10-G10))</f>
        <v>0</v>
      </c>
      <c r="M20" s="51"/>
    </row>
    <row r="21" spans="1:13" ht="16.5" x14ac:dyDescent="0.25">
      <c r="A21" s="11"/>
      <c r="B21" s="56">
        <f>C21+D21</f>
        <v>24040.333333333336</v>
      </c>
      <c r="C21" s="57">
        <f>F15*5000/1000-(8000/3)</f>
        <v>11276.333333333334</v>
      </c>
      <c r="D21" s="57">
        <f>((E21*4)+(F21*8))</f>
        <v>12764</v>
      </c>
      <c r="E21" s="29">
        <v>1313</v>
      </c>
      <c r="F21" s="29">
        <v>939</v>
      </c>
      <c r="G21" s="11"/>
      <c r="H21" s="11"/>
      <c r="I21" s="11"/>
      <c r="J21" s="53"/>
      <c r="K21" s="53"/>
      <c r="L21" s="53"/>
      <c r="M21" s="51"/>
    </row>
    <row r="22" spans="1:13" ht="16.5" x14ac:dyDescent="0.25">
      <c r="A22" s="11"/>
      <c r="B22" s="36" t="s">
        <v>73</v>
      </c>
      <c r="C22" s="35" t="s">
        <v>73</v>
      </c>
      <c r="D22" s="35" t="s">
        <v>73</v>
      </c>
      <c r="E22" s="58" t="s">
        <v>73</v>
      </c>
      <c r="F22" s="58" t="s">
        <v>73</v>
      </c>
      <c r="G22" s="11"/>
      <c r="H22" s="11"/>
      <c r="I22" s="11"/>
      <c r="J22" s="49" t="b">
        <f>IF(AND(A18&gt;1000,E18&lt;701, E18&gt;500), (C12-G8))</f>
        <v>0</v>
      </c>
      <c r="K22" s="53" t="b">
        <f>IF(AND(A18&gt;1000,E18&lt;1001, E18&gt;700), (C12-G10))</f>
        <v>0</v>
      </c>
      <c r="L22" s="53" t="b">
        <f>IF(AND(A18&gt;1000,E18&gt;1000), (C12-G12))</f>
        <v>0</v>
      </c>
      <c r="M22" s="51"/>
    </row>
    <row r="23" spans="1:13" ht="16.5" x14ac:dyDescent="0.25">
      <c r="B23" s="59"/>
      <c r="C23" s="59"/>
      <c r="D23" s="59"/>
      <c r="G23" s="1"/>
      <c r="H23" s="1"/>
      <c r="I23" s="1"/>
      <c r="J23" s="1"/>
      <c r="K23" s="1"/>
      <c r="L23" s="1"/>
      <c r="M23" s="1"/>
    </row>
    <row r="24" spans="1:13" ht="16.5" x14ac:dyDescent="0.25">
      <c r="B24" s="72" t="s">
        <v>99</v>
      </c>
      <c r="C24" s="72" t="s">
        <v>98</v>
      </c>
      <c r="G24" s="14"/>
      <c r="H24" s="1"/>
      <c r="I24" s="1"/>
      <c r="J24" s="1"/>
      <c r="K24" s="1"/>
      <c r="L24" s="1"/>
      <c r="M24" s="1"/>
    </row>
    <row r="25" spans="1:13" ht="16.5" x14ac:dyDescent="0.25">
      <c r="A25" s="60" t="s">
        <v>74</v>
      </c>
      <c r="B25" s="4" t="s">
        <v>25</v>
      </c>
      <c r="C25" s="4" t="s">
        <v>25</v>
      </c>
      <c r="D25" s="72" t="s">
        <v>0</v>
      </c>
      <c r="G25" s="12"/>
      <c r="H25" s="1"/>
      <c r="I25" s="1"/>
      <c r="J25" s="1"/>
      <c r="K25" s="1"/>
      <c r="L25" s="1"/>
      <c r="M25" s="1"/>
    </row>
    <row r="26" spans="1:13" ht="16.5" x14ac:dyDescent="0.25">
      <c r="A26" s="52" t="s">
        <v>68</v>
      </c>
      <c r="B26" s="5">
        <f>(D27-3000*E2)/(B21)</f>
        <v>5.8235465398427637</v>
      </c>
      <c r="C26" s="5">
        <f>(D28-3000*E2)/(B21)</f>
        <v>6.4890947158247938</v>
      </c>
      <c r="D26" s="72" t="s">
        <v>75</v>
      </c>
      <c r="G26" s="59"/>
      <c r="H26" s="1"/>
      <c r="I26" s="1"/>
      <c r="J26" s="1"/>
      <c r="K26" s="1"/>
      <c r="L26" s="1"/>
      <c r="M26" s="1"/>
    </row>
    <row r="27" spans="1:13" ht="16.5" x14ac:dyDescent="0.25">
      <c r="A27" s="52" t="s">
        <v>81</v>
      </c>
      <c r="B27" s="5">
        <f>(D27-3000*E2-15000*E2)/(B21)</f>
        <v>4.5756437098764575</v>
      </c>
      <c r="C27" s="5">
        <f>(D28-3000*E2-15000*E2)/(B21)</f>
        <v>5.2411918858584876</v>
      </c>
      <c r="D27" s="4">
        <f>E2*73000</f>
        <v>146000</v>
      </c>
      <c r="G27" s="59"/>
      <c r="H27" s="1"/>
      <c r="I27" s="1"/>
      <c r="J27" s="1"/>
      <c r="K27" s="1"/>
      <c r="L27" s="1"/>
      <c r="M27" s="1"/>
    </row>
    <row r="28" spans="1:13" ht="16.5" x14ac:dyDescent="0.25">
      <c r="A28" s="52" t="s">
        <v>96</v>
      </c>
      <c r="B28" s="5">
        <f>(D27-3000*E2-5000*E2)/(B21)</f>
        <v>5.4075789298539947</v>
      </c>
      <c r="C28" s="5">
        <f>(D28-3000*E2-5000*E2)/(B21)</f>
        <v>6.0731271058360248</v>
      </c>
      <c r="D28" s="4">
        <f>E2*81000</f>
        <v>162000</v>
      </c>
      <c r="F28" s="4"/>
      <c r="G28" s="59"/>
      <c r="H28" s="1"/>
      <c r="I28" s="1"/>
      <c r="J28" s="1"/>
      <c r="K28" s="1"/>
      <c r="L28" s="1"/>
      <c r="M28" s="1"/>
    </row>
    <row r="29" spans="1:13" ht="16.5" x14ac:dyDescent="0.25">
      <c r="A29" s="52" t="s">
        <v>82</v>
      </c>
      <c r="B29" s="5">
        <f>(D27-3000*E2-7500*E2)/(B21)</f>
        <v>5.1995951248596102</v>
      </c>
      <c r="C29" s="5">
        <f>(D28-3000*E2-7500*E2)/(B21)</f>
        <v>5.8651433008416403</v>
      </c>
      <c r="D29" s="4" t="s">
        <v>73</v>
      </c>
      <c r="H29" s="1"/>
      <c r="I29" s="1"/>
      <c r="J29" s="1"/>
      <c r="K29" s="1"/>
      <c r="L29" s="1"/>
      <c r="M29" s="1"/>
    </row>
    <row r="30" spans="1:13" ht="16.5" x14ac:dyDescent="0.25">
      <c r="A30" s="52" t="s">
        <v>83</v>
      </c>
      <c r="B30" s="5">
        <f>(D27-3000*E2-6000*E2)/(B21)</f>
        <v>5.3243854078562407</v>
      </c>
      <c r="C30" s="5">
        <f>(D28-3000*E2-6000*E2)/(B21)</f>
        <v>5.9899335838382708</v>
      </c>
      <c r="D30" s="5"/>
      <c r="H30" s="1"/>
      <c r="I30" s="1"/>
      <c r="J30" s="1"/>
      <c r="K30" s="1"/>
      <c r="L30" s="1"/>
      <c r="M30" s="1"/>
    </row>
    <row r="31" spans="1:13" ht="16.5" x14ac:dyDescent="0.25">
      <c r="A31" s="52" t="s">
        <v>84</v>
      </c>
      <c r="B31" s="5">
        <f>(D27-3000*E2-7000*E2)/(B21)</f>
        <v>5.2411918858584876</v>
      </c>
      <c r="C31" s="5">
        <f>(D28-3000*E2-7000*E2)/(B21)</f>
        <v>5.9067400618405177</v>
      </c>
      <c r="D31" s="5"/>
    </row>
    <row r="32" spans="1:13" ht="16.5" x14ac:dyDescent="0.25">
      <c r="A32" s="52" t="s">
        <v>85</v>
      </c>
      <c r="B32" s="5">
        <f>(D27-3000*E2-18000*E2)/(B21)</f>
        <v>4.3260631438831956</v>
      </c>
      <c r="C32" s="5">
        <f>(D28-3000*E2-18000*E2)/(B21)</f>
        <v>4.9916113198652257</v>
      </c>
      <c r="D32" s="5"/>
    </row>
    <row r="33" spans="1:13" ht="16.5" x14ac:dyDescent="0.25">
      <c r="A33" s="52" t="s">
        <v>73</v>
      </c>
      <c r="H33" s="1"/>
      <c r="I33" s="1"/>
      <c r="J33" s="1"/>
      <c r="K33" s="1"/>
      <c r="L33" s="1"/>
      <c r="M33" s="1"/>
    </row>
    <row r="34" spans="1:13" ht="16.5" x14ac:dyDescent="0.25">
      <c r="H34" s="1"/>
      <c r="I34" s="1"/>
      <c r="J34" s="1"/>
      <c r="K34" s="1"/>
      <c r="L34" s="1"/>
      <c r="M34" s="1"/>
    </row>
    <row r="35" spans="1:13" ht="16.5" x14ac:dyDescent="0.25">
      <c r="G35" s="19"/>
      <c r="H35" s="1"/>
      <c r="I35" s="1"/>
      <c r="J35" s="1"/>
      <c r="K35" s="1"/>
      <c r="L35" s="1"/>
      <c r="M35" s="1"/>
    </row>
    <row r="36" spans="1:13" ht="16.5" x14ac:dyDescent="0.25">
      <c r="H36" s="1"/>
      <c r="I36" s="1"/>
      <c r="J36" s="1"/>
      <c r="K36" s="1"/>
      <c r="L36" s="1"/>
      <c r="M36" s="1"/>
    </row>
    <row r="37" spans="1:13" ht="16.5" x14ac:dyDescent="0.25">
      <c r="H37" s="1"/>
      <c r="I37" s="1"/>
      <c r="J37" s="1"/>
      <c r="K37" s="1"/>
      <c r="L37" s="1"/>
      <c r="M37" s="1"/>
    </row>
    <row r="38" spans="1:13" ht="16.5" x14ac:dyDescent="0.25">
      <c r="H38" s="1"/>
      <c r="I38" s="1"/>
      <c r="J38" s="1"/>
      <c r="K38" s="1"/>
      <c r="L38" s="1"/>
      <c r="M38" s="1"/>
    </row>
    <row r="39" spans="1:13" ht="16.5" x14ac:dyDescent="0.25">
      <c r="A39" s="1"/>
      <c r="B39" s="1"/>
      <c r="C39" s="1"/>
      <c r="I39" s="1"/>
      <c r="J39" s="1"/>
      <c r="K39" s="1"/>
      <c r="L39" s="1"/>
      <c r="M39" s="1"/>
    </row>
    <row r="40" spans="1:13" ht="16.5" x14ac:dyDescent="0.25">
      <c r="D40" s="1"/>
      <c r="E40" s="1"/>
      <c r="F40" s="1"/>
      <c r="I40" s="1"/>
      <c r="J40" s="1"/>
      <c r="K40" s="1"/>
      <c r="L40" s="1"/>
      <c r="M40" s="1"/>
    </row>
    <row r="41" spans="1:13" ht="16.5" x14ac:dyDescent="0.25">
      <c r="I41" s="1"/>
      <c r="J41" s="1"/>
      <c r="K41" s="1"/>
      <c r="L41" s="1"/>
      <c r="M41" s="1"/>
    </row>
    <row r="42" spans="1:13" ht="16.5" x14ac:dyDescent="0.25">
      <c r="I42" s="1"/>
      <c r="J42" s="1"/>
      <c r="K42" s="1"/>
      <c r="L42" s="1"/>
      <c r="M42" s="1"/>
    </row>
    <row r="43" spans="1:13" ht="16.5" x14ac:dyDescent="0.25">
      <c r="I43" s="1"/>
      <c r="J43" s="1"/>
      <c r="K43" s="1"/>
      <c r="L43" s="1"/>
      <c r="M43" s="1"/>
    </row>
    <row r="44" spans="1:13" ht="16.5" x14ac:dyDescent="0.25">
      <c r="G44" s="1"/>
      <c r="I44" s="1"/>
      <c r="J44" s="1"/>
      <c r="K44" s="1"/>
      <c r="L44" s="1"/>
      <c r="M44" s="1"/>
    </row>
    <row r="45" spans="1:13" ht="16.5" x14ac:dyDescent="0.25">
      <c r="I45" s="1"/>
      <c r="J45" s="1"/>
      <c r="K45" s="1"/>
      <c r="L45" s="1"/>
      <c r="M45" s="1"/>
    </row>
    <row r="46" spans="1:13" ht="16.5" x14ac:dyDescent="0.25">
      <c r="I46" s="1"/>
      <c r="J46" s="1"/>
      <c r="K46" s="1"/>
      <c r="L46" s="1"/>
      <c r="M46" s="1"/>
    </row>
    <row r="47" spans="1:13" ht="16.5" x14ac:dyDescent="0.25">
      <c r="I47" s="1"/>
      <c r="J47" s="1"/>
      <c r="K47" s="1"/>
      <c r="L47" s="1"/>
      <c r="M47" s="1"/>
    </row>
    <row r="48" spans="1:13" ht="16.5" x14ac:dyDescent="0.25">
      <c r="I48" s="1"/>
      <c r="J48" s="1"/>
      <c r="K48" s="1"/>
      <c r="L48" s="1"/>
      <c r="M48" s="1"/>
    </row>
    <row r="49" spans="4:13" ht="16.5" x14ac:dyDescent="0.25">
      <c r="I49" s="1"/>
      <c r="J49" s="1"/>
      <c r="K49" s="1"/>
      <c r="L49" s="1"/>
      <c r="M49" s="1"/>
    </row>
    <row r="50" spans="4:13" ht="16.5" x14ac:dyDescent="0.25">
      <c r="I50" s="1"/>
      <c r="J50" s="1"/>
      <c r="K50" s="1"/>
      <c r="L50" s="1"/>
      <c r="M50" s="1"/>
    </row>
    <row r="51" spans="4:13" ht="16.5" x14ac:dyDescent="0.25">
      <c r="H51" s="1"/>
      <c r="I51" s="1"/>
      <c r="J51" s="1"/>
      <c r="K51" s="1"/>
      <c r="L51" s="1"/>
      <c r="M51" s="1"/>
    </row>
    <row r="52" spans="4:13" ht="16.5" x14ac:dyDescent="0.25">
      <c r="D52" s="1"/>
      <c r="E52" s="6"/>
      <c r="F52" s="1"/>
      <c r="H52" s="1"/>
      <c r="I52" s="1"/>
      <c r="J52" s="1"/>
      <c r="K52" s="1"/>
      <c r="L52" s="1"/>
      <c r="M52" s="1"/>
    </row>
    <row r="53" spans="4:13" ht="16.5" x14ac:dyDescent="0.25">
      <c r="D53" s="1"/>
      <c r="E53" s="1"/>
      <c r="F53" s="1"/>
      <c r="H53" s="1"/>
      <c r="I53" s="1"/>
      <c r="J53" s="1"/>
      <c r="K53" s="1"/>
      <c r="L53" s="1"/>
      <c r="M53" s="1"/>
    </row>
    <row r="54" spans="4:13" ht="16.5" x14ac:dyDescent="0.25">
      <c r="D54" s="1"/>
      <c r="E54" s="1"/>
      <c r="F54" s="1"/>
      <c r="H54" s="1"/>
      <c r="I54" s="1"/>
      <c r="J54" s="1"/>
      <c r="K54" s="1"/>
      <c r="L54" s="1"/>
      <c r="M54" s="1"/>
    </row>
    <row r="55" spans="4:13" ht="16.5" x14ac:dyDescent="0.25">
      <c r="D55" s="1"/>
      <c r="E55" s="1"/>
      <c r="F55" s="1"/>
      <c r="H55" s="1"/>
      <c r="I55" s="1"/>
      <c r="J55" s="1"/>
      <c r="K55" s="1"/>
      <c r="L55" s="1"/>
      <c r="M55" s="1"/>
    </row>
    <row r="56" spans="4:13" ht="16.5" x14ac:dyDescent="0.25">
      <c r="G56" s="1"/>
      <c r="H56" s="1"/>
      <c r="I56" s="1"/>
      <c r="J56" s="1"/>
      <c r="K56" s="1"/>
      <c r="L56" s="1"/>
      <c r="M56" s="1"/>
    </row>
    <row r="57" spans="4:13" ht="16.5" x14ac:dyDescent="0.25">
      <c r="G57" s="1"/>
      <c r="H57" s="1"/>
      <c r="I57" s="1"/>
      <c r="J57" s="1"/>
      <c r="K57" s="1"/>
      <c r="L57" s="1"/>
      <c r="M57" s="1"/>
    </row>
    <row r="58" spans="4:13" ht="16.5" x14ac:dyDescent="0.25">
      <c r="G58" s="1"/>
      <c r="H58" s="1"/>
      <c r="I58" s="1"/>
      <c r="J58" s="1"/>
      <c r="K58" s="1"/>
      <c r="L58" s="1"/>
      <c r="M58" s="1"/>
    </row>
    <row r="59" spans="4:13" ht="16.5" x14ac:dyDescent="0.25">
      <c r="G59" s="1"/>
      <c r="H59" s="1"/>
      <c r="I59" s="1"/>
      <c r="J59" s="1"/>
      <c r="K59" s="1"/>
      <c r="L59" s="1"/>
      <c r="M59" s="1"/>
    </row>
    <row r="60" spans="4:13" ht="16.5" x14ac:dyDescent="0.25">
      <c r="H60" s="1"/>
      <c r="I60" s="1"/>
      <c r="J60" s="1"/>
      <c r="K60" s="1"/>
      <c r="L60" s="1"/>
      <c r="M60" s="1"/>
    </row>
    <row r="61" spans="4:13" ht="16.5" x14ac:dyDescent="0.25">
      <c r="H61" s="1"/>
      <c r="I61" s="1"/>
      <c r="J61" s="1"/>
      <c r="K61" s="1"/>
      <c r="L61" s="1"/>
      <c r="M61" s="1"/>
    </row>
    <row r="62" spans="4:13" ht="16.5" x14ac:dyDescent="0.25">
      <c r="H62" s="1"/>
      <c r="I62" s="1"/>
      <c r="J62" s="1"/>
      <c r="K62" s="1"/>
      <c r="L62" s="1"/>
      <c r="M62" s="1"/>
    </row>
    <row r="63" spans="4:13" ht="16.5" x14ac:dyDescent="0.25">
      <c r="H63" s="1"/>
      <c r="I63" s="1"/>
      <c r="J63" s="1"/>
      <c r="K63" s="1"/>
      <c r="L63" s="1"/>
      <c r="M63" s="1"/>
    </row>
    <row r="64" spans="4:13" ht="16.5" x14ac:dyDescent="0.25">
      <c r="H64" s="1"/>
      <c r="I64" s="1"/>
      <c r="J64" s="1"/>
      <c r="K64" s="1"/>
      <c r="L64" s="1"/>
      <c r="M64" s="1"/>
    </row>
    <row r="65" spans="8:13" ht="16.5" x14ac:dyDescent="0.25">
      <c r="H65" s="1"/>
      <c r="I65" s="1"/>
      <c r="J65" s="1"/>
      <c r="K65" s="1"/>
      <c r="L65" s="1"/>
      <c r="M65" s="1"/>
    </row>
    <row r="66" spans="8:13" ht="16.5" x14ac:dyDescent="0.25">
      <c r="H66" s="1"/>
      <c r="I66" s="1"/>
      <c r="J66" s="1"/>
      <c r="K66" s="1"/>
      <c r="L66" s="1"/>
      <c r="M66" s="1"/>
    </row>
    <row r="67" spans="8:13" ht="16.5" x14ac:dyDescent="0.25">
      <c r="H67" s="1"/>
      <c r="I67" s="1"/>
      <c r="J67" s="1"/>
      <c r="K67" s="1"/>
      <c r="L67" s="1"/>
      <c r="M67" s="1"/>
    </row>
    <row r="68" spans="8:13" ht="16.5" x14ac:dyDescent="0.25">
      <c r="H68" s="1"/>
      <c r="I68" s="1"/>
      <c r="J68" s="1"/>
      <c r="K68" s="1"/>
      <c r="L68" s="1"/>
      <c r="M68" s="1"/>
    </row>
    <row r="69" spans="8:13" ht="16.5" x14ac:dyDescent="0.25">
      <c r="H69" s="1"/>
      <c r="I69" s="1"/>
      <c r="J69" s="1"/>
      <c r="K69" s="1"/>
      <c r="L69" s="1"/>
      <c r="M69" s="1"/>
    </row>
    <row r="70" spans="8:13" ht="16.5" x14ac:dyDescent="0.25">
      <c r="H70" s="1"/>
      <c r="I70" s="1"/>
      <c r="J70" s="1"/>
      <c r="K70" s="1"/>
      <c r="L70" s="1"/>
      <c r="M70" s="1"/>
    </row>
    <row r="71" spans="8:13" ht="16.5" x14ac:dyDescent="0.25">
      <c r="H71" s="1"/>
      <c r="I71" s="1"/>
      <c r="J71" s="1"/>
      <c r="K71" s="1"/>
      <c r="L71" s="1"/>
      <c r="M71" s="1"/>
    </row>
    <row r="72" spans="8:13" ht="16.5" x14ac:dyDescent="0.25">
      <c r="H72" s="1"/>
      <c r="I72" s="1"/>
      <c r="J72" s="1"/>
      <c r="K72" s="1"/>
      <c r="L72" s="1"/>
      <c r="M72" s="1"/>
    </row>
    <row r="73" spans="8:13" ht="16.5" x14ac:dyDescent="0.25">
      <c r="H73" s="1"/>
      <c r="I73" s="1"/>
      <c r="J73" s="1"/>
      <c r="K73" s="1"/>
      <c r="L73" s="1"/>
      <c r="M73" s="1"/>
    </row>
    <row r="74" spans="8:13" ht="16.5" x14ac:dyDescent="0.25">
      <c r="H74" s="1"/>
      <c r="I74" s="1"/>
      <c r="J74" s="1"/>
      <c r="K74" s="1"/>
      <c r="L74" s="1"/>
      <c r="M74" s="1"/>
    </row>
    <row r="75" spans="8:13" ht="16.5" x14ac:dyDescent="0.25">
      <c r="H75" s="1"/>
      <c r="I75" s="1"/>
      <c r="J75" s="1"/>
      <c r="K75" s="1"/>
      <c r="L75" s="1"/>
      <c r="M75" s="1"/>
    </row>
    <row r="76" spans="8:13" ht="16.5" x14ac:dyDescent="0.25">
      <c r="H76" s="1"/>
      <c r="I76" s="1"/>
      <c r="J76" s="1"/>
      <c r="K76" s="1"/>
      <c r="L76" s="1"/>
      <c r="M76" s="1"/>
    </row>
    <row r="77" spans="8:13" ht="16.5" x14ac:dyDescent="0.25">
      <c r="H77" s="1"/>
      <c r="I77" s="1"/>
      <c r="J77" s="1"/>
      <c r="K77" s="1"/>
      <c r="L77" s="1"/>
      <c r="M77" s="1"/>
    </row>
    <row r="78" spans="8:13" ht="16.5" x14ac:dyDescent="0.25">
      <c r="H78" s="1"/>
      <c r="I78" s="1"/>
      <c r="J78" s="1"/>
      <c r="K78" s="1"/>
      <c r="L78" s="1"/>
      <c r="M78" s="1"/>
    </row>
    <row r="79" spans="8:13" ht="16.5" x14ac:dyDescent="0.25">
      <c r="H79" s="1"/>
      <c r="I79" s="1"/>
      <c r="J79" s="1"/>
      <c r="K79" s="1"/>
      <c r="L79" s="1"/>
      <c r="M79" s="1"/>
    </row>
    <row r="80" spans="8:13" ht="16.5" x14ac:dyDescent="0.25">
      <c r="H80" s="1"/>
      <c r="I80" s="1"/>
      <c r="J80" s="1"/>
      <c r="K80" s="1"/>
      <c r="L80" s="1"/>
      <c r="M80" s="1"/>
    </row>
    <row r="81" spans="8:13" ht="16.5" x14ac:dyDescent="0.25">
      <c r="H81" s="1"/>
      <c r="I81" s="1"/>
      <c r="J81" s="1"/>
      <c r="K81" s="1"/>
      <c r="L81" s="1"/>
      <c r="M81" s="1"/>
    </row>
    <row r="82" spans="8:13" ht="16.5" x14ac:dyDescent="0.25">
      <c r="H82" s="1"/>
      <c r="I82" s="1"/>
      <c r="J82" s="1"/>
      <c r="K82" s="1"/>
      <c r="L82" s="1"/>
      <c r="M82" s="1"/>
    </row>
    <row r="83" spans="8:13" ht="16.5" x14ac:dyDescent="0.25">
      <c r="H83" s="1"/>
      <c r="I83" s="1"/>
      <c r="J83" s="1"/>
      <c r="K83" s="1"/>
      <c r="L83" s="1"/>
      <c r="M83" s="1"/>
    </row>
    <row r="84" spans="8:13" ht="16.5" x14ac:dyDescent="0.25">
      <c r="H84" s="1"/>
      <c r="I84" s="1"/>
      <c r="J84" s="1"/>
      <c r="K84" s="1"/>
      <c r="L84" s="1"/>
      <c r="M84" s="1"/>
    </row>
    <row r="85" spans="8:13" ht="16.5" x14ac:dyDescent="0.25">
      <c r="H85" s="1"/>
      <c r="I85" s="1"/>
      <c r="J85" s="1"/>
      <c r="K85" s="1"/>
      <c r="L85" s="1"/>
      <c r="M85" s="1"/>
    </row>
    <row r="86" spans="8:13" ht="16.5" x14ac:dyDescent="0.25">
      <c r="H86" s="1"/>
      <c r="I86" s="1"/>
      <c r="J86" s="1"/>
      <c r="K86" s="1"/>
      <c r="L86" s="1"/>
      <c r="M86" s="1"/>
    </row>
    <row r="87" spans="8:13" ht="16.5" x14ac:dyDescent="0.25">
      <c r="H87" s="1"/>
      <c r="I87" s="1"/>
      <c r="J87" s="1"/>
      <c r="K87" s="1"/>
      <c r="L87" s="1"/>
      <c r="M87" s="1"/>
    </row>
    <row r="88" spans="8:13" ht="16.5" x14ac:dyDescent="0.25">
      <c r="H88" s="1"/>
      <c r="I88" s="1"/>
      <c r="J88" s="1"/>
      <c r="K88" s="1"/>
      <c r="L88" s="1"/>
      <c r="M88" s="1"/>
    </row>
    <row r="89" spans="8:13" ht="16.5" x14ac:dyDescent="0.25">
      <c r="H89" s="1"/>
      <c r="I89" s="1"/>
      <c r="J89" s="1"/>
      <c r="K89" s="1"/>
      <c r="L89" s="1"/>
      <c r="M89" s="1"/>
    </row>
    <row r="90" spans="8:13" ht="16.5" x14ac:dyDescent="0.25">
      <c r="H90" s="1"/>
      <c r="I90" s="1"/>
      <c r="J90" s="1"/>
      <c r="K90" s="1"/>
      <c r="L90" s="1"/>
      <c r="M90" s="1"/>
    </row>
    <row r="91" spans="8:13" ht="16.5" x14ac:dyDescent="0.25">
      <c r="H91" s="1"/>
      <c r="I91" s="1"/>
      <c r="J91" s="1"/>
      <c r="K91" s="1"/>
      <c r="L91" s="1"/>
      <c r="M91" s="1"/>
    </row>
    <row r="92" spans="8:13" ht="16.5" x14ac:dyDescent="0.25">
      <c r="H92" s="1"/>
      <c r="I92" s="1"/>
      <c r="J92" s="1"/>
      <c r="K92" s="1"/>
      <c r="L92" s="1"/>
      <c r="M92" s="1"/>
    </row>
    <row r="93" spans="8:13" ht="16.5" x14ac:dyDescent="0.25">
      <c r="H93" s="1"/>
      <c r="I93" s="1"/>
      <c r="J93" s="1"/>
      <c r="K93" s="1"/>
      <c r="L93" s="1"/>
      <c r="M93" s="1"/>
    </row>
    <row r="94" spans="8:13" ht="16.5" x14ac:dyDescent="0.25">
      <c r="H94" s="1"/>
      <c r="I94" s="1"/>
      <c r="J94" s="1"/>
      <c r="K94" s="1"/>
      <c r="L94" s="1"/>
      <c r="M94" s="1"/>
    </row>
    <row r="95" spans="8:13" ht="16.5" x14ac:dyDescent="0.25">
      <c r="H95" s="1"/>
      <c r="I95" s="1"/>
      <c r="J95" s="1"/>
      <c r="K95" s="1"/>
      <c r="L95" s="1"/>
      <c r="M95" s="1"/>
    </row>
    <row r="96" spans="8:13" ht="16.5" x14ac:dyDescent="0.25">
      <c r="H96" s="1"/>
      <c r="I96" s="1"/>
      <c r="J96" s="1"/>
      <c r="K96" s="1"/>
      <c r="L96" s="1"/>
      <c r="M96" s="1"/>
    </row>
    <row r="97" spans="1:13" ht="16.5" x14ac:dyDescent="0.25">
      <c r="H97" s="1"/>
      <c r="I97" s="1"/>
      <c r="J97" s="1"/>
      <c r="K97" s="1"/>
      <c r="L97" s="1"/>
      <c r="M97" s="1"/>
    </row>
    <row r="98" spans="1:13" ht="16.5" x14ac:dyDescent="0.25">
      <c r="H98" s="1"/>
      <c r="I98" s="1"/>
      <c r="J98" s="1"/>
      <c r="K98" s="1"/>
      <c r="L98" s="1"/>
      <c r="M98" s="1"/>
    </row>
    <row r="99" spans="1:13" ht="16.5" x14ac:dyDescent="0.25">
      <c r="H99" s="1"/>
      <c r="I99" s="1"/>
      <c r="J99" s="1"/>
      <c r="K99" s="1"/>
      <c r="L99" s="1"/>
      <c r="M99" s="1"/>
    </row>
    <row r="100" spans="1:13" ht="16.5" x14ac:dyDescent="0.25">
      <c r="H100" s="1"/>
      <c r="I100" s="1"/>
      <c r="J100" s="1"/>
      <c r="K100" s="1"/>
      <c r="L100" s="1"/>
      <c r="M100" s="1"/>
    </row>
    <row r="101" spans="1:13" ht="16.5" x14ac:dyDescent="0.25">
      <c r="A101" s="1"/>
      <c r="B101" s="1"/>
      <c r="C101" s="1"/>
      <c r="H101" s="1"/>
      <c r="I101" s="1"/>
      <c r="J101" s="1"/>
      <c r="K101" s="1"/>
      <c r="L101" s="1"/>
      <c r="M101" s="1"/>
    </row>
    <row r="102" spans="1:13" ht="16.5" x14ac:dyDescent="0.25">
      <c r="A102" s="1"/>
      <c r="B102" s="1"/>
      <c r="C102" s="1"/>
      <c r="D102" s="1"/>
      <c r="E102" s="1"/>
      <c r="F102" s="1"/>
      <c r="H102" s="1"/>
      <c r="I102" s="1"/>
      <c r="J102" s="1"/>
      <c r="K102" s="1"/>
      <c r="L102" s="1"/>
      <c r="M102" s="1"/>
    </row>
    <row r="103" spans="1:13" ht="16.5" x14ac:dyDescent="0.25">
      <c r="A103" s="1"/>
      <c r="B103" s="1"/>
      <c r="C103" s="1"/>
      <c r="D103" s="1"/>
      <c r="E103" s="1"/>
      <c r="F103" s="1"/>
      <c r="H103" s="1"/>
      <c r="I103" s="1"/>
      <c r="J103" s="1"/>
      <c r="K103" s="1"/>
      <c r="L103" s="1"/>
      <c r="M103" s="1"/>
    </row>
    <row r="104" spans="1:13" ht="16.5" x14ac:dyDescent="0.25">
      <c r="A104" s="1"/>
      <c r="B104" s="1"/>
      <c r="C104" s="1"/>
      <c r="D104" s="1"/>
      <c r="E104" s="1"/>
      <c r="F104" s="1"/>
      <c r="H104" s="1"/>
      <c r="I104" s="1"/>
      <c r="J104" s="1"/>
      <c r="K104" s="1"/>
      <c r="L104" s="1"/>
      <c r="M104" s="1"/>
    </row>
    <row r="105" spans="1:13" ht="16.5" x14ac:dyDescent="0.25">
      <c r="A105" s="1"/>
      <c r="B105" s="1"/>
      <c r="C105" s="1"/>
      <c r="D105" s="1"/>
      <c r="E105" s="1"/>
      <c r="F105" s="1"/>
      <c r="H105" s="1"/>
      <c r="I105" s="1"/>
      <c r="J105" s="1"/>
      <c r="K105" s="1"/>
      <c r="L105" s="1"/>
      <c r="M105" s="1"/>
    </row>
    <row r="106" spans="1:13" ht="16.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1:13" ht="16.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1:13" ht="16.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1:13" ht="16.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1:13" ht="16.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1:13" ht="16.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1:13" ht="16.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1:13" ht="16.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1:13" ht="16.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1:13" ht="16.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1:13" ht="16.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1:13" ht="16.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1:13" ht="16.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1:13" ht="16.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1:13" ht="16.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1:13" ht="16.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1:13" ht="16.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1:13" ht="16.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1:13" ht="16.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1:13" ht="16.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1:13" ht="16.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1:13" ht="16.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1:13" ht="16.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1:13" ht="16.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1:13" ht="16.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1:13" ht="16.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1:13" ht="16.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1:13" ht="16.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1:13" ht="16.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1:13" ht="16.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1:13" ht="16.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1:13" ht="16.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1:13" ht="16.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1:13" ht="16.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1:13" ht="16.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1:13" ht="16.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1:13" ht="16.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1:13" ht="16.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1:13" ht="16.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1:13" ht="16.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1:13" ht="16.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1:13" ht="16.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1:13" ht="16.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1:13" ht="16.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1:13" ht="16.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1:13" ht="16.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1:13" ht="16.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1:13" ht="16.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1:13" ht="16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1:13" ht="16.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1:13" ht="16.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1:13" ht="16.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1:13" ht="16.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1:13" ht="16.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1:13" ht="16.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1:13" ht="16.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1:13" ht="16.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1:13" ht="16.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1:13" ht="16.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1:13" ht="16.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1:13" ht="16.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1:13" ht="16.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1:13" ht="16.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1:13" ht="16.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1:13" ht="16.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1:13" ht="16.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1:13" ht="16.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1:13" ht="16.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1:13" ht="16.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1:13" ht="16.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1:13" ht="16.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1:13" ht="16.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1:13" ht="16.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1:13" ht="16.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1:13" ht="16.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1:13" ht="16.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1:13" ht="16.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1:13" ht="16.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1:13" ht="16.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1:13" ht="16.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1:13" ht="16.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1:13" ht="16.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1:13" ht="16.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1:13" ht="16.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1:13" ht="16.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1:13" ht="16.5" x14ac:dyDescent="0.25">
      <c r="A191" s="20"/>
      <c r="B191" s="20"/>
      <c r="C191" s="20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1:13" ht="16.5" x14ac:dyDescent="0.25">
      <c r="A192" s="7"/>
      <c r="B192" s="7"/>
      <c r="C192" s="7"/>
      <c r="D192" s="7"/>
      <c r="E192" s="7"/>
      <c r="F192" s="7"/>
      <c r="G192" s="1"/>
      <c r="H192" s="1"/>
      <c r="I192" s="1"/>
      <c r="J192" s="1"/>
      <c r="K192" s="1"/>
      <c r="L192" s="1"/>
      <c r="M192" s="1"/>
    </row>
    <row r="193" spans="1:13" ht="16.5" x14ac:dyDescent="0.25">
      <c r="A193" s="18"/>
      <c r="B193" s="18"/>
      <c r="C193" s="18"/>
      <c r="D193" s="7"/>
      <c r="E193" s="7"/>
      <c r="F193" s="7"/>
      <c r="G193" s="1"/>
      <c r="H193" s="1"/>
      <c r="I193" s="1"/>
      <c r="J193" s="1"/>
      <c r="K193" s="1"/>
      <c r="L193" s="1"/>
      <c r="M193" s="1"/>
    </row>
    <row r="194" spans="1:13" ht="16.5" x14ac:dyDescent="0.25">
      <c r="A194" s="7"/>
      <c r="B194" s="7"/>
      <c r="C194" s="7"/>
      <c r="D194" s="7"/>
      <c r="E194" s="7"/>
      <c r="F194" s="7"/>
      <c r="G194" s="1"/>
      <c r="H194" s="1"/>
      <c r="I194" s="1"/>
      <c r="J194" s="1"/>
      <c r="K194" s="1"/>
      <c r="L194" s="1"/>
      <c r="M194" s="1"/>
    </row>
    <row r="195" spans="1:13" ht="16.5" x14ac:dyDescent="0.25">
      <c r="A195" s="7"/>
      <c r="B195" s="7"/>
      <c r="C195" s="7"/>
      <c r="D195" s="7"/>
      <c r="E195" s="7"/>
      <c r="F195" s="7"/>
      <c r="G195" s="1"/>
      <c r="H195" s="1"/>
      <c r="I195" s="1"/>
      <c r="J195" s="1"/>
      <c r="K195" s="1"/>
      <c r="L195" s="1"/>
      <c r="M195" s="1"/>
    </row>
    <row r="196" spans="1:13" ht="16.5" x14ac:dyDescent="0.25">
      <c r="A196" s="7"/>
      <c r="B196" s="7"/>
      <c r="C196" s="7"/>
      <c r="D196" s="7"/>
      <c r="E196" s="7"/>
      <c r="F196" s="7"/>
      <c r="G196" s="7"/>
      <c r="H196" s="1"/>
      <c r="I196" s="1"/>
      <c r="J196" s="1"/>
      <c r="K196" s="1"/>
      <c r="L196" s="1"/>
      <c r="M196" s="1"/>
    </row>
    <row r="197" spans="1:13" ht="16.5" x14ac:dyDescent="0.25">
      <c r="A197" s="18"/>
      <c r="B197" s="18"/>
      <c r="C197" s="18"/>
      <c r="D197" s="7"/>
      <c r="E197" s="7"/>
      <c r="F197" s="7"/>
      <c r="G197" s="7"/>
      <c r="H197" s="1"/>
      <c r="I197" s="1"/>
      <c r="J197" s="1"/>
      <c r="K197" s="1"/>
      <c r="L197" s="1"/>
      <c r="M197" s="1"/>
    </row>
    <row r="198" spans="1:13" ht="16.5" x14ac:dyDescent="0.25">
      <c r="A198" s="7"/>
      <c r="B198" s="7"/>
      <c r="C198" s="7"/>
      <c r="D198" s="20"/>
      <c r="E198" s="7"/>
      <c r="F198" s="7"/>
      <c r="G198" s="7"/>
      <c r="H198" s="1"/>
      <c r="I198" s="1"/>
      <c r="J198" s="1"/>
      <c r="K198" s="1"/>
      <c r="L198" s="1"/>
      <c r="M198" s="1"/>
    </row>
    <row r="199" spans="1:13" ht="16.5" x14ac:dyDescent="0.25">
      <c r="A199" s="7"/>
      <c r="B199" s="7"/>
      <c r="C199" s="7"/>
      <c r="D199" s="20"/>
      <c r="E199" s="7"/>
      <c r="F199" s="7"/>
      <c r="G199" s="7"/>
      <c r="H199" s="1"/>
      <c r="I199" s="1"/>
      <c r="J199" s="1"/>
      <c r="K199" s="1"/>
      <c r="L199" s="1"/>
      <c r="M199" s="1"/>
    </row>
    <row r="200" spans="1:13" ht="16.5" x14ac:dyDescent="0.25">
      <c r="A200" s="7"/>
      <c r="B200" s="7"/>
      <c r="C200" s="7"/>
      <c r="D200" s="20"/>
      <c r="E200" s="7"/>
      <c r="F200" s="7"/>
      <c r="G200" s="7"/>
      <c r="H200" s="1"/>
      <c r="I200" s="1"/>
      <c r="J200" s="1"/>
      <c r="K200" s="1"/>
      <c r="L200" s="1"/>
      <c r="M200" s="1"/>
    </row>
    <row r="201" spans="1:13" ht="16.5" x14ac:dyDescent="0.25">
      <c r="A201" s="18"/>
      <c r="B201" s="18"/>
      <c r="C201" s="18"/>
      <c r="D201" s="20"/>
      <c r="E201" s="7"/>
      <c r="F201" s="7"/>
      <c r="G201" s="7"/>
      <c r="H201" s="1"/>
      <c r="I201" s="1"/>
      <c r="J201" s="1"/>
      <c r="K201" s="1"/>
      <c r="L201" s="1"/>
      <c r="M201" s="1"/>
    </row>
    <row r="202" spans="1:13" ht="16.5" x14ac:dyDescent="0.25">
      <c r="A202" s="7"/>
      <c r="B202" s="7"/>
      <c r="C202" s="7"/>
      <c r="D202" s="20"/>
      <c r="E202" s="7"/>
      <c r="F202" s="7"/>
      <c r="G202" s="7"/>
      <c r="H202" s="1"/>
      <c r="I202" s="1"/>
      <c r="J202" s="1"/>
      <c r="K202" s="1"/>
      <c r="L202" s="1"/>
      <c r="M202" s="1"/>
    </row>
    <row r="203" spans="1:13" ht="16.5" x14ac:dyDescent="0.25">
      <c r="A203" s="20"/>
      <c r="B203" s="20"/>
      <c r="C203" s="20"/>
      <c r="D203" s="20"/>
      <c r="E203" s="7"/>
      <c r="F203" s="7"/>
      <c r="G203" s="7"/>
      <c r="H203" s="1"/>
      <c r="I203" s="1"/>
      <c r="J203" s="1"/>
      <c r="K203" s="1"/>
      <c r="L203" s="1"/>
      <c r="M203" s="1"/>
    </row>
    <row r="204" spans="1:13" ht="16.5" x14ac:dyDescent="0.25">
      <c r="A204" s="7"/>
      <c r="B204" s="7"/>
      <c r="C204" s="7"/>
      <c r="D204" s="20"/>
      <c r="E204" s="7"/>
      <c r="F204" s="7"/>
      <c r="G204" s="7"/>
      <c r="H204" s="1"/>
      <c r="I204" s="1"/>
      <c r="J204" s="1"/>
      <c r="K204" s="1"/>
      <c r="L204" s="1"/>
      <c r="M204" s="1"/>
    </row>
    <row r="205" spans="1:13" ht="16.5" x14ac:dyDescent="0.25">
      <c r="A205" s="18"/>
      <c r="B205" s="18"/>
      <c r="C205" s="18"/>
      <c r="D205" s="20"/>
      <c r="E205" s="7"/>
      <c r="F205" s="7"/>
      <c r="G205" s="7"/>
      <c r="H205" s="1"/>
      <c r="I205" s="1"/>
      <c r="J205" s="1"/>
      <c r="K205" s="1"/>
      <c r="L205" s="1"/>
      <c r="M205" s="1"/>
    </row>
    <row r="206" spans="1:13" ht="16.5" x14ac:dyDescent="0.25">
      <c r="A206" s="7"/>
      <c r="B206" s="7"/>
      <c r="C206" s="7"/>
      <c r="D206" s="20"/>
      <c r="E206" s="7"/>
      <c r="F206" s="7"/>
      <c r="G206" s="7"/>
      <c r="H206" s="1"/>
      <c r="I206" s="1"/>
      <c r="J206" s="1"/>
      <c r="K206" s="1"/>
      <c r="L206" s="1"/>
      <c r="M206" s="1"/>
    </row>
    <row r="207" spans="1:13" ht="16.5" x14ac:dyDescent="0.25">
      <c r="A207" s="20"/>
      <c r="B207" s="20"/>
      <c r="C207" s="20"/>
      <c r="D207" s="20"/>
      <c r="E207" s="7"/>
      <c r="F207" s="7"/>
      <c r="G207" s="7"/>
      <c r="H207" s="1"/>
      <c r="I207" s="1"/>
      <c r="J207" s="1"/>
      <c r="K207" s="1"/>
      <c r="L207" s="1"/>
      <c r="M207" s="1"/>
    </row>
    <row r="208" spans="1:13" ht="16.5" x14ac:dyDescent="0.25">
      <c r="A208" s="20"/>
      <c r="B208" s="20"/>
      <c r="C208" s="20"/>
      <c r="D208" s="20"/>
      <c r="E208" s="7"/>
      <c r="F208" s="7"/>
      <c r="G208" s="7"/>
      <c r="H208" s="1"/>
      <c r="I208" s="1"/>
      <c r="J208" s="1"/>
      <c r="K208" s="1"/>
      <c r="L208" s="1"/>
      <c r="M208" s="1"/>
    </row>
    <row r="209" spans="1:7" ht="16.5" x14ac:dyDescent="0.25">
      <c r="A209" s="20"/>
      <c r="B209" s="20"/>
      <c r="C209" s="20"/>
      <c r="D209" s="20"/>
      <c r="E209" s="20"/>
      <c r="F209" s="20"/>
      <c r="G209" s="7"/>
    </row>
    <row r="210" spans="1:7" ht="16.5" x14ac:dyDescent="0.25">
      <c r="A210" s="20"/>
      <c r="B210" s="20"/>
      <c r="C210" s="20"/>
      <c r="D210" s="20"/>
      <c r="E210" s="20"/>
      <c r="F210" s="20"/>
      <c r="G210" s="7"/>
    </row>
    <row r="211" spans="1:7" ht="16.5" x14ac:dyDescent="0.25">
      <c r="A211" s="20"/>
      <c r="B211" s="18"/>
      <c r="C211" s="18"/>
      <c r="D211" s="20"/>
      <c r="E211" s="20"/>
      <c r="F211" s="20"/>
      <c r="G211" s="7"/>
    </row>
    <row r="212" spans="1:7" ht="16.5" x14ac:dyDescent="0.25">
      <c r="A212" s="18"/>
      <c r="B212" s="21"/>
      <c r="C212" s="18"/>
      <c r="D212" s="18"/>
      <c r="E212" s="20"/>
      <c r="F212" s="20"/>
      <c r="G212" s="7"/>
    </row>
    <row r="213" spans="1:7" ht="16.5" x14ac:dyDescent="0.25">
      <c r="A213" s="18"/>
      <c r="B213" s="22"/>
      <c r="C213" s="23"/>
      <c r="D213" s="18"/>
      <c r="E213" s="7"/>
      <c r="F213" s="7"/>
      <c r="G213" s="20"/>
    </row>
    <row r="214" spans="1:7" ht="16.5" x14ac:dyDescent="0.25">
      <c r="A214" s="18"/>
      <c r="B214" s="23"/>
      <c r="C214" s="23"/>
      <c r="D214" s="23"/>
      <c r="E214" s="18"/>
      <c r="F214" s="18"/>
      <c r="G214" s="20"/>
    </row>
    <row r="215" spans="1:7" ht="16.5" x14ac:dyDescent="0.25">
      <c r="A215" s="7"/>
      <c r="B215" s="7"/>
      <c r="C215" s="7"/>
      <c r="D215" s="23"/>
      <c r="E215" s="7"/>
      <c r="F215" s="7"/>
      <c r="G215" s="20"/>
    </row>
    <row r="216" spans="1:7" ht="16.5" x14ac:dyDescent="0.25">
      <c r="A216" s="18"/>
      <c r="B216" s="21"/>
      <c r="C216" s="18"/>
      <c r="D216" s="7"/>
      <c r="E216" s="7"/>
      <c r="F216" s="7"/>
      <c r="G216" s="20"/>
    </row>
    <row r="217" spans="1:7" ht="16.5" x14ac:dyDescent="0.25">
      <c r="A217" s="18"/>
      <c r="B217" s="22"/>
      <c r="C217" s="23"/>
      <c r="D217" s="18"/>
      <c r="E217" s="7"/>
      <c r="F217" s="7"/>
      <c r="G217" s="7"/>
    </row>
    <row r="218" spans="1:7" ht="16.5" x14ac:dyDescent="0.25">
      <c r="A218" s="18"/>
      <c r="B218" s="23"/>
      <c r="C218" s="23"/>
      <c r="D218" s="23"/>
      <c r="E218" s="18"/>
      <c r="F218" s="18"/>
      <c r="G218" s="18"/>
    </row>
    <row r="219" spans="1:7" ht="16.5" x14ac:dyDescent="0.25">
      <c r="A219" s="19"/>
      <c r="B219" s="19"/>
      <c r="C219" s="19"/>
      <c r="D219" s="23"/>
      <c r="E219" s="7"/>
      <c r="F219" s="7"/>
      <c r="G219" s="7"/>
    </row>
    <row r="220" spans="1:7" ht="16.5" x14ac:dyDescent="0.25">
      <c r="A220" s="18"/>
      <c r="B220" s="18"/>
      <c r="C220" s="18"/>
      <c r="D220" s="19"/>
      <c r="E220" s="19"/>
      <c r="F220" s="19"/>
      <c r="G220" s="7"/>
    </row>
    <row r="221" spans="1:7" ht="16.5" x14ac:dyDescent="0.25">
      <c r="A221" s="18"/>
      <c r="B221" s="21"/>
      <c r="C221" s="18"/>
      <c r="D221" s="18"/>
      <c r="E221" s="7"/>
      <c r="F221" s="7"/>
      <c r="G221" s="7"/>
    </row>
    <row r="222" spans="1:7" ht="16.5" x14ac:dyDescent="0.25">
      <c r="A222" s="18"/>
      <c r="B222" s="22"/>
      <c r="C222" s="23"/>
      <c r="D222" s="18"/>
      <c r="E222" s="7"/>
      <c r="F222" s="7"/>
      <c r="G222" s="18"/>
    </row>
    <row r="223" spans="1:7" ht="16.5" x14ac:dyDescent="0.25">
      <c r="A223" s="18"/>
      <c r="B223" s="22"/>
      <c r="C223" s="23"/>
      <c r="D223" s="23"/>
      <c r="E223" s="18"/>
      <c r="F223" s="18"/>
      <c r="G223" s="7"/>
    </row>
    <row r="224" spans="1:7" ht="16.5" x14ac:dyDescent="0.25">
      <c r="A224" s="7"/>
      <c r="B224" s="7"/>
      <c r="C224" s="7"/>
      <c r="D224" s="23"/>
      <c r="E224" s="7"/>
      <c r="F224" s="7"/>
      <c r="G224" s="19"/>
    </row>
    <row r="225" spans="1:7" ht="16.5" x14ac:dyDescent="0.25">
      <c r="A225" s="18"/>
      <c r="B225" s="21"/>
      <c r="C225" s="18"/>
      <c r="D225" s="7"/>
      <c r="E225" s="7"/>
      <c r="F225" s="7"/>
      <c r="G225" s="7"/>
    </row>
    <row r="226" spans="1:7" ht="16.5" x14ac:dyDescent="0.25">
      <c r="A226" s="18"/>
      <c r="B226" s="22"/>
      <c r="C226" s="23"/>
      <c r="D226" s="18"/>
      <c r="E226" s="7"/>
      <c r="F226" s="7"/>
      <c r="G226" s="7"/>
    </row>
    <row r="227" spans="1:7" ht="16.5" x14ac:dyDescent="0.25">
      <c r="A227" s="18"/>
      <c r="B227" s="22"/>
      <c r="C227" s="23"/>
      <c r="D227" s="23"/>
      <c r="E227" s="18"/>
      <c r="F227" s="18"/>
      <c r="G227" s="18"/>
    </row>
    <row r="228" spans="1:7" ht="16.5" x14ac:dyDescent="0.25">
      <c r="A228" s="7"/>
      <c r="B228" s="7"/>
      <c r="C228" s="7"/>
      <c r="D228" s="23"/>
      <c r="E228" s="7"/>
      <c r="F228" s="7"/>
      <c r="G228" s="7"/>
    </row>
    <row r="229" spans="1:7" ht="16.5" x14ac:dyDescent="0.25">
      <c r="A229" s="18"/>
      <c r="B229" s="18"/>
      <c r="C229" s="18"/>
      <c r="D229" s="7"/>
      <c r="E229" s="7"/>
      <c r="F229" s="7"/>
      <c r="G229" s="7"/>
    </row>
    <row r="230" spans="1:7" ht="16.5" x14ac:dyDescent="0.25">
      <c r="A230" s="18"/>
      <c r="B230" s="21"/>
      <c r="C230" s="18"/>
      <c r="D230" s="18"/>
      <c r="E230" s="20"/>
      <c r="F230" s="20"/>
      <c r="G230" s="7"/>
    </row>
    <row r="231" spans="1:7" ht="16.5" x14ac:dyDescent="0.25">
      <c r="A231" s="18"/>
      <c r="B231" s="22"/>
      <c r="C231" s="23"/>
      <c r="D231" s="18"/>
      <c r="E231" s="7"/>
      <c r="F231" s="7"/>
      <c r="G231" s="18"/>
    </row>
    <row r="232" spans="1:7" ht="16.5" x14ac:dyDescent="0.25">
      <c r="A232" s="18"/>
      <c r="B232" s="22"/>
      <c r="C232" s="23"/>
      <c r="D232" s="23"/>
      <c r="E232" s="18"/>
      <c r="F232" s="18"/>
      <c r="G232" s="7"/>
    </row>
    <row r="233" spans="1:7" ht="16.5" x14ac:dyDescent="0.25">
      <c r="A233" s="20"/>
      <c r="B233" s="20"/>
      <c r="C233" s="20"/>
      <c r="D233" s="23"/>
      <c r="E233" s="7"/>
      <c r="F233" s="7"/>
      <c r="G233" s="7"/>
    </row>
    <row r="234" spans="1:7" ht="16.5" x14ac:dyDescent="0.25">
      <c r="A234" s="7"/>
      <c r="B234" s="7"/>
      <c r="C234" s="7"/>
      <c r="D234" s="20"/>
      <c r="E234" s="20"/>
      <c r="F234" s="20"/>
      <c r="G234" s="20"/>
    </row>
    <row r="235" spans="1:7" ht="16.5" x14ac:dyDescent="0.25">
      <c r="A235" s="18"/>
      <c r="B235" s="21"/>
      <c r="C235" s="18"/>
      <c r="D235" s="7"/>
      <c r="E235" s="20"/>
      <c r="F235" s="20"/>
      <c r="G235" s="7"/>
    </row>
    <row r="236" spans="1:7" ht="16.5" x14ac:dyDescent="0.25">
      <c r="A236" s="18"/>
      <c r="B236" s="22"/>
      <c r="C236" s="23"/>
      <c r="D236" s="18"/>
      <c r="E236" s="7"/>
      <c r="F236" s="7"/>
      <c r="G236" s="18"/>
    </row>
    <row r="237" spans="1:7" ht="16.5" x14ac:dyDescent="0.25">
      <c r="A237" s="18"/>
      <c r="B237" s="22"/>
      <c r="C237" s="23"/>
      <c r="D237" s="23"/>
      <c r="E237" s="18"/>
      <c r="F237" s="18"/>
      <c r="G237" s="7"/>
    </row>
    <row r="238" spans="1:7" ht="16.5" x14ac:dyDescent="0.25">
      <c r="D238" s="23"/>
      <c r="E238" s="7"/>
      <c r="F238" s="7"/>
      <c r="G238" s="20"/>
    </row>
    <row r="239" spans="1:7" x14ac:dyDescent="0.25">
      <c r="G239" s="20"/>
    </row>
    <row r="240" spans="1:7" ht="16.5" x14ac:dyDescent="0.25">
      <c r="G240" s="7"/>
    </row>
    <row r="241" spans="7:7" ht="16.5" x14ac:dyDescent="0.25">
      <c r="G241" s="18"/>
    </row>
    <row r="242" spans="7:7" ht="16.5" x14ac:dyDescent="0.25">
      <c r="G242" s="7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D5B2-03F8-4EBE-9532-D758A055CA09}">
  <dimension ref="A1:N205"/>
  <sheetViews>
    <sheetView topLeftCell="A13" zoomScale="75" zoomScaleNormal="75" workbookViewId="0">
      <selection activeCell="D27" sqref="D27"/>
    </sheetView>
  </sheetViews>
  <sheetFormatPr defaultRowHeight="15.75" x14ac:dyDescent="0.25"/>
  <cols>
    <col min="1" max="1" width="29.42578125" customWidth="1"/>
    <col min="2" max="3" width="24.7109375" bestFit="1" customWidth="1"/>
    <col min="4" max="4" width="25.5703125" bestFit="1" customWidth="1"/>
    <col min="5" max="5" width="28.7109375" bestFit="1" customWidth="1"/>
    <col min="6" max="6" width="39.140625" bestFit="1" customWidth="1"/>
    <col min="7" max="7" width="21.85546875" bestFit="1" customWidth="1"/>
    <col min="8" max="8" width="4" customWidth="1"/>
    <col min="9" max="9" width="17.28515625" bestFit="1" customWidth="1"/>
    <col min="10" max="12" width="8.7109375" bestFit="1" customWidth="1"/>
    <col min="13" max="13" width="10.42578125" bestFit="1" customWidth="1"/>
    <col min="14" max="14" width="9.28515625" bestFit="1" customWidth="1"/>
  </cols>
  <sheetData>
    <row r="1" spans="1:14" ht="33" x14ac:dyDescent="0.25">
      <c r="A1" s="26" t="s">
        <v>26</v>
      </c>
      <c r="B1" s="26" t="s">
        <v>10</v>
      </c>
      <c r="C1" s="26" t="s">
        <v>11</v>
      </c>
      <c r="D1" s="2"/>
      <c r="E1" s="26" t="s">
        <v>7</v>
      </c>
      <c r="F1" s="28" t="s">
        <v>21</v>
      </c>
      <c r="G1" s="28" t="s">
        <v>22</v>
      </c>
      <c r="H1" s="4"/>
      <c r="I1" s="28" t="s">
        <v>19</v>
      </c>
      <c r="J1" s="49" t="b">
        <f>IF(AND(A13&lt;330, D16&lt;0), A13*2.61)</f>
        <v>0</v>
      </c>
      <c r="K1" s="49" t="b">
        <f>IF(AND(A13&gt;330,D16&lt;0), (A13-330)*3.66+330*2.61)</f>
        <v>0</v>
      </c>
      <c r="L1" s="50" t="b">
        <f>IF(AND(A13&gt;330,D16&gt;=0, D16&lt;331), (B4-F2))</f>
        <v>0</v>
      </c>
      <c r="M1" s="51"/>
      <c r="N1" s="51"/>
    </row>
    <row r="2" spans="1:14" ht="16.5" x14ac:dyDescent="0.25">
      <c r="A2" s="1" t="s">
        <v>14</v>
      </c>
      <c r="B2" s="49" t="b">
        <f>IF(A13&lt;331, A13*2.61)</f>
        <v>0</v>
      </c>
      <c r="C2" s="49" t="b">
        <f>IF(A13&lt;331, A13*2.18)</f>
        <v>0</v>
      </c>
      <c r="D2" s="1"/>
      <c r="E2" s="35">
        <v>2</v>
      </c>
      <c r="F2" s="49" t="b">
        <f>IF(AND(D16&lt;330,D16&gt;0), D16*2.61)</f>
        <v>0</v>
      </c>
      <c r="G2" s="49" t="b">
        <f>IF(AND(E16&lt;330,E16&gt;0), E16*2.18)</f>
        <v>0</v>
      </c>
      <c r="I2" s="1"/>
      <c r="J2" s="49"/>
      <c r="K2" s="49"/>
      <c r="L2" s="49"/>
      <c r="M2" s="51"/>
      <c r="N2" s="51"/>
    </row>
    <row r="3" spans="1:14" ht="16.5" x14ac:dyDescent="0.25">
      <c r="A3" s="1"/>
      <c r="B3" s="49"/>
      <c r="C3" s="49"/>
      <c r="D3" s="1"/>
      <c r="E3" s="35" t="s">
        <v>12</v>
      </c>
      <c r="F3" s="49"/>
      <c r="G3" s="49"/>
      <c r="I3" s="1"/>
      <c r="J3" s="50" t="b">
        <f>IF(AND(A13&gt;330, A13&lt;701,D16&lt;331), (B4-F2))</f>
        <v>0</v>
      </c>
      <c r="K3" s="50" t="b">
        <f>IF(AND(A13&gt;330,A13&lt;701,D16&gt;330, D16&lt;701), (B4-F4))</f>
        <v>0</v>
      </c>
      <c r="L3" s="49"/>
      <c r="M3" s="51"/>
      <c r="N3" s="51"/>
    </row>
    <row r="4" spans="1:14" ht="16.5" x14ac:dyDescent="0.25">
      <c r="A4" s="1" t="s">
        <v>15</v>
      </c>
      <c r="B4" s="49" t="b">
        <f>IF(AND(A13&gt;330, A13&lt;701), (A13-120)*3.66+330*2.61)</f>
        <v>0</v>
      </c>
      <c r="C4" s="49" t="b">
        <f>IF(AND(A16&gt;330, A16&lt;701), (A16-120)*3+330*2.18)</f>
        <v>0</v>
      </c>
      <c r="D4" s="1"/>
      <c r="E4" s="1"/>
      <c r="F4" s="49" t="b">
        <f>IF(AND(D16&gt;330, D16&lt;701), (D16-330)*3.66+330*2.61)</f>
        <v>0</v>
      </c>
      <c r="G4" s="49" t="b">
        <f>IF(AND(E16&gt;330, E16&lt;701), (E16-330)*3+330*2.18)</f>
        <v>0</v>
      </c>
      <c r="I4" s="1"/>
      <c r="J4" s="49"/>
      <c r="K4" s="49"/>
      <c r="L4" s="49"/>
      <c r="M4" s="51"/>
      <c r="N4" s="51"/>
    </row>
    <row r="5" spans="1:14" ht="16.5" x14ac:dyDescent="0.25">
      <c r="A5" s="1"/>
      <c r="B5" s="49"/>
      <c r="C5" s="49"/>
      <c r="D5" s="1"/>
      <c r="E5" s="26"/>
      <c r="F5" s="49"/>
      <c r="G5" s="49"/>
      <c r="I5" s="1"/>
      <c r="J5" s="49" t="b">
        <f>IF(AND(A13&gt;700,A13&lt;1501,D16&lt;331, D16&gt;0), (B6-F2))</f>
        <v>0</v>
      </c>
      <c r="K5" s="49" t="b">
        <f>IF(AND(A13&gt;700,A13&lt;1501,D16&lt;701, D16&gt;330), (B6-F4))</f>
        <v>0</v>
      </c>
      <c r="L5" s="49" t="b">
        <f>IF(AND(A13&gt;700,A13&lt;1501,D16&lt;1501, D16&gt;700), (B6-F6))</f>
        <v>0</v>
      </c>
      <c r="M5" s="51"/>
      <c r="N5" s="51"/>
    </row>
    <row r="6" spans="1:14" ht="16.5" x14ac:dyDescent="0.25">
      <c r="A6" s="1" t="s">
        <v>16</v>
      </c>
      <c r="B6" s="49" t="b">
        <f>IF(AND(A13&gt;700,A13&lt;1501), (A13-700)*4.46+370*3.66+330*2.61)</f>
        <v>0</v>
      </c>
      <c r="C6" s="49">
        <f>IF(AND(A16&gt;700,A16&lt;1501), (A16-700)*3.61+370*3+330*2.18)</f>
        <v>3995.4</v>
      </c>
      <c r="D6" s="1"/>
      <c r="E6" s="61"/>
      <c r="F6" s="49" t="b">
        <f>IF(AND(D16&gt;700,D16&lt;1501), (D16-700)*4.46+370*3.66+330*2.61)</f>
        <v>0</v>
      </c>
      <c r="G6" s="49">
        <f>IF(AND(E16&gt;700,E16&lt;1501), (E16-700)*3.61+370*3+330*2.18)</f>
        <v>3140.4076</v>
      </c>
      <c r="I6" s="1"/>
      <c r="J6" s="49"/>
      <c r="K6" s="49"/>
      <c r="L6" s="49"/>
      <c r="M6" s="51"/>
      <c r="N6" s="51"/>
    </row>
    <row r="7" spans="1:14" ht="16.5" x14ac:dyDescent="0.25">
      <c r="A7" s="1"/>
      <c r="B7" s="49"/>
      <c r="C7" s="49"/>
      <c r="D7" s="1"/>
      <c r="E7" s="2"/>
      <c r="F7" s="49"/>
      <c r="G7" s="49"/>
      <c r="I7" s="1"/>
      <c r="J7" s="49" t="b">
        <f>IF(AND(A13&gt;1500, A13&lt;3001, D16&lt;331), (B8-F2))</f>
        <v>0</v>
      </c>
      <c r="K7" s="49" t="b">
        <f>IF(AND(A13&gt;1500, A13&lt;3001, D16&gt;330, D16&lt;701), (B8-F4))</f>
        <v>0</v>
      </c>
      <c r="L7" s="49" t="b">
        <f>IF(AND(A13&gt;1500, A13&lt;3001, D16&gt;700, D16&lt;1501), (B8-F6))</f>
        <v>0</v>
      </c>
      <c r="M7" s="49">
        <f>IF(AND(A13&gt;1500, A13&lt;3001, D16&gt;1500, D16&lt;3001), (B8-F8))</f>
        <v>1676.8271999999988</v>
      </c>
      <c r="N7" s="51"/>
    </row>
    <row r="8" spans="1:14" ht="16.5" x14ac:dyDescent="0.25">
      <c r="A8" s="1" t="s">
        <v>17</v>
      </c>
      <c r="B8" s="49">
        <f>IF(AND(A13&gt;1500,A13&lt;3001), (A13-1500)*7.08+800*4.46+370*3.66+330*2.61)</f>
        <v>7907.5</v>
      </c>
      <c r="C8" s="49" t="b">
        <f>IF(AND(A16&gt;1500,A16&lt;3001), (A16-1500)*5.56+800*3.61+370*3+330*2.18)</f>
        <v>0</v>
      </c>
      <c r="D8" s="1"/>
      <c r="E8" s="1"/>
      <c r="F8" s="49">
        <f>IF(AND(D16&gt;1500,D16&lt;3001), (D16-1500)*7.08+800*4.46+370*3.66+330*2.61)</f>
        <v>6230.6728000000012</v>
      </c>
      <c r="G8" s="49" t="b">
        <f>IF(AND(E16&gt;1500,E16&lt;3001), (E16-1500)*5.56+800*3.61+370*3+330*2.18)</f>
        <v>0</v>
      </c>
      <c r="I8" s="1"/>
      <c r="J8" s="49"/>
      <c r="K8" s="49"/>
      <c r="L8" s="49"/>
      <c r="M8" s="51"/>
      <c r="N8" s="51"/>
    </row>
    <row r="9" spans="1:14" ht="16.5" x14ac:dyDescent="0.25">
      <c r="A9" s="1"/>
      <c r="B9" s="51"/>
      <c r="C9" s="51"/>
      <c r="D9" s="1"/>
      <c r="E9" s="1"/>
      <c r="F9" s="49"/>
      <c r="G9" s="49"/>
      <c r="I9" s="1"/>
      <c r="J9" s="49" t="b">
        <f>IF(AND(A13&gt;3001, D16&lt;331), (B10-F2))</f>
        <v>0</v>
      </c>
      <c r="K9" s="49" t="b">
        <f>IF(AND(A13&gt;3001, D16&gt;330, D16&lt;701), (B10-F4))</f>
        <v>0</v>
      </c>
      <c r="L9" s="49" t="b">
        <f>IF(AND(A13&gt;3001, D16&gt;700, D16&lt;1501), (B10-F6))</f>
        <v>0</v>
      </c>
      <c r="M9" s="49" t="b">
        <f>IF(AND(A13&gt;3001, D16&gt;1500, D16&lt;3001), (B10-F8))</f>
        <v>0</v>
      </c>
      <c r="N9" s="49" t="b">
        <f>IF(AND(A13&gt;3001, D16&gt;3001), (B10-F10))</f>
        <v>0</v>
      </c>
    </row>
    <row r="10" spans="1:14" ht="16.5" x14ac:dyDescent="0.25">
      <c r="A10" s="1" t="s">
        <v>18</v>
      </c>
      <c r="B10" s="49" t="b">
        <f>IF(A13&gt;3000, (A13-3000)*7.43+1500*7.08+800*4.46+370*3.66+330*2.61)</f>
        <v>0</v>
      </c>
      <c r="C10" s="49" t="b">
        <f>IF(A16&gt;3000, (A16-3000)*5.83+1500*5.56+800*3.61+370*3+330*2.18)</f>
        <v>0</v>
      </c>
      <c r="D10" s="1"/>
      <c r="E10" s="1"/>
      <c r="F10" s="49" t="b">
        <f>IF(D16&gt;3000, (D16-3000)*7.43+1500*7.08+800*4.46+370*3.66+330*2.61)</f>
        <v>0</v>
      </c>
      <c r="G10" s="49" t="b">
        <f>IF(E16&gt;3000, (E16-3000)*5.83+1500*5.56+800*3.61+370*3+330*2.18)</f>
        <v>0</v>
      </c>
      <c r="I10" s="1"/>
      <c r="J10" s="49"/>
      <c r="K10" s="49"/>
      <c r="L10" s="49"/>
      <c r="M10" s="51"/>
      <c r="N10" s="51"/>
    </row>
    <row r="11" spans="1:14" ht="16.5" x14ac:dyDescent="0.25">
      <c r="A11" s="1"/>
      <c r="B11" s="1"/>
      <c r="C11" s="1"/>
      <c r="D11" s="1"/>
      <c r="E11" s="1"/>
      <c r="F11" s="3"/>
      <c r="G11" s="3"/>
      <c r="I11" s="1"/>
      <c r="J11" s="49"/>
      <c r="K11" s="49"/>
      <c r="L11" s="49"/>
      <c r="M11" s="51"/>
      <c r="N11" s="51"/>
    </row>
    <row r="12" spans="1:14" ht="33" x14ac:dyDescent="0.25">
      <c r="A12" s="28" t="s">
        <v>27</v>
      </c>
      <c r="B12" s="2"/>
      <c r="C12" s="2"/>
      <c r="D12" s="28" t="s">
        <v>33</v>
      </c>
      <c r="E12" s="28" t="s">
        <v>32</v>
      </c>
      <c r="F12" s="28" t="s">
        <v>67</v>
      </c>
      <c r="G12" s="1"/>
      <c r="I12" s="28" t="s">
        <v>20</v>
      </c>
      <c r="J12" s="49" t="b">
        <f>IF(AND(A16&lt;330, E16&lt;0), A16*2.18)</f>
        <v>0</v>
      </c>
      <c r="K12" s="49" t="b">
        <f>IF(AND(A16&gt;330,E16&lt;0), (A16-330)*3+330*2.18)</f>
        <v>0</v>
      </c>
      <c r="L12" s="49" t="b">
        <f>IF(AND(A16&gt;330, E16&gt;=0, E16&lt;331), (C4-G2))</f>
        <v>0</v>
      </c>
      <c r="M12" s="51"/>
      <c r="N12" s="51"/>
    </row>
    <row r="13" spans="1:14" ht="16.5" x14ac:dyDescent="0.25">
      <c r="A13" s="35">
        <v>1800</v>
      </c>
      <c r="B13" s="2"/>
      <c r="C13" s="2"/>
      <c r="D13" s="2">
        <f>E13*31</f>
        <v>236.84</v>
      </c>
      <c r="E13" s="8">
        <f>E2*4*0.955</f>
        <v>7.64</v>
      </c>
      <c r="F13" s="55">
        <f>E13*365</f>
        <v>2788.6</v>
      </c>
      <c r="G13" s="1"/>
      <c r="I13" s="1"/>
      <c r="J13" s="49"/>
      <c r="K13" s="49"/>
      <c r="L13" s="49"/>
      <c r="M13" s="51"/>
      <c r="N13" s="51"/>
    </row>
    <row r="14" spans="1:14" ht="16.5" x14ac:dyDescent="0.25">
      <c r="A14" s="25" t="s">
        <v>69</v>
      </c>
      <c r="B14" s="2"/>
      <c r="C14" s="2"/>
      <c r="D14" s="2"/>
      <c r="E14" s="2"/>
      <c r="F14" s="2"/>
      <c r="G14" s="1"/>
      <c r="I14" s="1"/>
      <c r="J14" s="49" t="b">
        <f>IF(AND(A16&gt;330, A16&lt;701, E16&lt;331), (C4-G2))</f>
        <v>0</v>
      </c>
      <c r="K14" s="49" t="b">
        <f>IF(AND(A16&gt;330,A16&lt;701,E16&gt;330, E16&lt;701), (C4-G4))</f>
        <v>0</v>
      </c>
      <c r="L14" s="49"/>
      <c r="M14" s="51"/>
      <c r="N14" s="51"/>
    </row>
    <row r="15" spans="1:14" ht="33" x14ac:dyDescent="0.25">
      <c r="A15" s="28" t="s">
        <v>28</v>
      </c>
      <c r="B15" s="2"/>
      <c r="C15" s="2"/>
      <c r="D15" s="28" t="s">
        <v>34</v>
      </c>
      <c r="E15" s="28" t="s">
        <v>35</v>
      </c>
      <c r="F15" s="26" t="s">
        <v>13</v>
      </c>
      <c r="G15" s="1"/>
      <c r="I15" s="1"/>
      <c r="J15" s="49"/>
      <c r="K15" s="49"/>
      <c r="L15" s="49"/>
      <c r="M15" s="51"/>
      <c r="N15" s="51"/>
    </row>
    <row r="16" spans="1:14" ht="16.5" x14ac:dyDescent="0.25">
      <c r="A16" s="35">
        <v>1300</v>
      </c>
      <c r="B16" s="2"/>
      <c r="C16" s="2"/>
      <c r="D16" s="10">
        <f>A13-D13</f>
        <v>1563.16</v>
      </c>
      <c r="E16" s="10">
        <f>A16-D13</f>
        <v>1063.1600000000001</v>
      </c>
      <c r="F16" s="8">
        <f>D13*(850-9)/1000</f>
        <v>199.18244000000001</v>
      </c>
      <c r="G16" s="1"/>
      <c r="I16" s="1"/>
      <c r="J16" s="49" t="b">
        <f>IF(AND(A16&gt;700,A16&lt;1501,E16&lt;331, E16&gt;0), (C6-G2))</f>
        <v>0</v>
      </c>
      <c r="K16" s="49" t="b">
        <f>IF(AND(A16&gt;700,A16&lt;1501,E16&lt;701, E16&gt;330), (C6-G4))</f>
        <v>0</v>
      </c>
      <c r="L16" s="49">
        <f>IF(AND(A16&gt;700,A16&lt;1501,E16&lt;1501, E16&gt;700), (C6-G6))</f>
        <v>854.99240000000009</v>
      </c>
      <c r="M16" s="51"/>
      <c r="N16" s="51"/>
    </row>
    <row r="17" spans="1:14" ht="16.5" x14ac:dyDescent="0.25">
      <c r="A17" s="25" t="s">
        <v>69</v>
      </c>
      <c r="B17" s="2"/>
      <c r="C17" s="2"/>
      <c r="D17" s="2"/>
      <c r="E17" s="2"/>
      <c r="F17" s="2"/>
      <c r="G17" s="1"/>
      <c r="I17" s="1"/>
      <c r="J17" s="49"/>
      <c r="K17" s="49"/>
      <c r="L17" s="49"/>
      <c r="M17" s="51"/>
      <c r="N17" s="51"/>
    </row>
    <row r="18" spans="1:14" ht="33" x14ac:dyDescent="0.25">
      <c r="A18" s="2"/>
      <c r="B18" s="26" t="s">
        <v>70</v>
      </c>
      <c r="C18" s="28" t="s">
        <v>71</v>
      </c>
      <c r="D18" s="28" t="s">
        <v>72</v>
      </c>
      <c r="E18" s="28" t="s">
        <v>23</v>
      </c>
      <c r="F18" s="28" t="s">
        <v>24</v>
      </c>
      <c r="G18" s="1"/>
      <c r="I18" s="1"/>
      <c r="J18" s="49" t="b">
        <f>IF(AND(A16&gt;1500, A16&lt;3001, E16&lt;331), (C8-G2))</f>
        <v>0</v>
      </c>
      <c r="K18" s="49" t="b">
        <f>IF(AND(A16&gt;1500, A16&lt;3001, E16&gt;330, E16&lt;701), (C8-G4))</f>
        <v>0</v>
      </c>
      <c r="L18" s="49" t="b">
        <f>IF(AND(A16&gt;1500, A16&lt;3001, E16&gt;700, E16&lt;1501), (C8-G6))</f>
        <v>0</v>
      </c>
      <c r="M18" s="49" t="b">
        <f>IF(AND(A16&gt;1500, A16&lt;3001, E16&gt;1500, E16&lt;3001), (C8-G8))</f>
        <v>0</v>
      </c>
      <c r="N18" s="51"/>
    </row>
    <row r="19" spans="1:14" ht="16.5" x14ac:dyDescent="0.25">
      <c r="A19" s="2"/>
      <c r="B19" s="62">
        <f>D19+C19</f>
        <v>24812.333333333336</v>
      </c>
      <c r="C19" s="63">
        <f>F13*5000/1000-(8000/3)</f>
        <v>11276.333333333334</v>
      </c>
      <c r="D19" s="63">
        <f>((E19*4)+(F19*8))</f>
        <v>13536</v>
      </c>
      <c r="E19" s="64">
        <v>1676</v>
      </c>
      <c r="F19" s="64">
        <v>854</v>
      </c>
      <c r="G19" s="1"/>
      <c r="I19" s="1"/>
      <c r="J19" s="49"/>
      <c r="K19" s="49"/>
      <c r="L19" s="49"/>
      <c r="M19" s="51"/>
      <c r="N19" s="51"/>
    </row>
    <row r="20" spans="1:14" ht="16.5" x14ac:dyDescent="0.25">
      <c r="A20" s="1"/>
      <c r="B20" s="36" t="s">
        <v>73</v>
      </c>
      <c r="C20" s="35" t="s">
        <v>73</v>
      </c>
      <c r="D20" s="35" t="s">
        <v>73</v>
      </c>
      <c r="E20" s="58" t="s">
        <v>73</v>
      </c>
      <c r="F20" s="58" t="s">
        <v>73</v>
      </c>
      <c r="G20" s="1"/>
      <c r="I20" s="1"/>
      <c r="J20" s="49" t="b">
        <f>IF(AND(A16&gt;3001, E16&lt;331), (C10-G2))</f>
        <v>0</v>
      </c>
      <c r="K20" s="49" t="b">
        <f>IF(AND(A16&gt;3001, E16&gt;330, E16&lt;701), (C10-G4))</f>
        <v>0</v>
      </c>
      <c r="L20" s="49" t="b">
        <f>IF(AND(A16&gt;3001, E16&gt;700, E16&lt;1501), (C10-G6))</f>
        <v>0</v>
      </c>
      <c r="M20" s="49" t="b">
        <f>IF(AND(A16&gt;3001, E16&gt;1500, E16&lt;3001), (C10-G8))</f>
        <v>0</v>
      </c>
      <c r="N20" s="51" t="b">
        <f>IF(AND(A16&gt;3001, E16&gt;3001), (C10-G10))</f>
        <v>0</v>
      </c>
    </row>
    <row r="21" spans="1:14" ht="16.5" x14ac:dyDescent="0.25">
      <c r="A21" s="24"/>
      <c r="B21" s="59"/>
      <c r="C21" s="59"/>
    </row>
    <row r="22" spans="1:14" ht="16.5" x14ac:dyDescent="0.25">
      <c r="B22" s="72" t="s">
        <v>99</v>
      </c>
      <c r="C22" s="72" t="s">
        <v>98</v>
      </c>
      <c r="G22" s="14"/>
    </row>
    <row r="23" spans="1:14" ht="16.5" x14ac:dyDescent="0.25">
      <c r="A23" s="60" t="s">
        <v>74</v>
      </c>
      <c r="B23" s="4" t="s">
        <v>25</v>
      </c>
      <c r="C23" s="4" t="s">
        <v>25</v>
      </c>
      <c r="D23" s="72" t="s">
        <v>0</v>
      </c>
      <c r="G23" s="12"/>
    </row>
    <row r="24" spans="1:14" ht="16.5" x14ac:dyDescent="0.25">
      <c r="A24" s="52" t="s">
        <v>68</v>
      </c>
      <c r="B24" s="5">
        <f>(D25-3000*E2)/(B19)</f>
        <v>5.642355280304149</v>
      </c>
      <c r="C24" s="5">
        <f>(D26-3000*E2)/(B19)</f>
        <v>6.2871958837674802</v>
      </c>
      <c r="D24" s="72" t="s">
        <v>75</v>
      </c>
      <c r="G24" s="59"/>
    </row>
    <row r="25" spans="1:14" ht="16.5" x14ac:dyDescent="0.25">
      <c r="A25" s="52" t="s">
        <v>81</v>
      </c>
      <c r="B25" s="5">
        <f>(D25-3000*E2-15000*E2)/(B19)</f>
        <v>4.4332791488104029</v>
      </c>
      <c r="C25" s="5">
        <f>(D26-3000*E2-15000*E2)/(B19)</f>
        <v>5.078119752273734</v>
      </c>
      <c r="D25" s="4">
        <f>E2*73000</f>
        <v>146000</v>
      </c>
      <c r="G25" s="59"/>
    </row>
    <row r="26" spans="1:14" ht="16.5" x14ac:dyDescent="0.25">
      <c r="A26" s="52" t="s">
        <v>97</v>
      </c>
      <c r="B26" s="5">
        <f>(D25-3000*E2-5000*E2)/(B19)</f>
        <v>5.2393299031395673</v>
      </c>
      <c r="C26" s="5">
        <f>(D26-3000*E2-5000*E2)/(B19)</f>
        <v>5.8841705066028984</v>
      </c>
      <c r="D26" s="4">
        <f>E2*81000</f>
        <v>162000</v>
      </c>
      <c r="F26" s="4"/>
      <c r="G26" s="59"/>
    </row>
    <row r="27" spans="1:14" ht="16.5" x14ac:dyDescent="0.25">
      <c r="A27" s="52" t="s">
        <v>82</v>
      </c>
      <c r="B27" s="5">
        <f>(D25-3000*E2-7500*E2)/(B19)</f>
        <v>5.0378172145572764</v>
      </c>
      <c r="C27" s="5">
        <f>(D26-3000*E2-7500*E2)/(B19)</f>
        <v>5.6826578180206075</v>
      </c>
      <c r="D27" s="4" t="s">
        <v>73</v>
      </c>
    </row>
    <row r="28" spans="1:14" ht="16.5" x14ac:dyDescent="0.25">
      <c r="A28" s="52" t="s">
        <v>83</v>
      </c>
      <c r="B28" s="5">
        <f>(D25-3000*E2-6000*E2)/(B19)</f>
        <v>5.1587248277066511</v>
      </c>
      <c r="C28" s="5">
        <f>(D26-3000*E2-6000*E2)/(B19)</f>
        <v>5.8035654311699822</v>
      </c>
      <c r="D28" s="5"/>
    </row>
    <row r="29" spans="1:14" ht="16.5" x14ac:dyDescent="0.25">
      <c r="A29" s="52" t="s">
        <v>84</v>
      </c>
      <c r="B29" s="5">
        <f>(D25-3000*E2-7000*E2)/(B19)</f>
        <v>5.078119752273734</v>
      </c>
      <c r="C29" s="5">
        <f>(D26-3000*E2-7000*E2)/(B19)</f>
        <v>5.7229603557370661</v>
      </c>
      <c r="D29" s="5"/>
    </row>
    <row r="30" spans="1:14" ht="16.5" x14ac:dyDescent="0.25">
      <c r="A30" s="52" t="s">
        <v>85</v>
      </c>
      <c r="B30" s="5">
        <f>(D25-3000*E2-18000*E2)/(B19)</f>
        <v>4.1914639225116535</v>
      </c>
      <c r="C30" s="5">
        <f>(D26-3000*E2-18000*E2)/(B19)</f>
        <v>4.8363045259749855</v>
      </c>
      <c r="D30" s="5"/>
    </row>
    <row r="31" spans="1:14" ht="16.5" x14ac:dyDescent="0.25">
      <c r="A31" s="52" t="s">
        <v>73</v>
      </c>
    </row>
    <row r="46" spans="1:6" ht="16.5" x14ac:dyDescent="0.25">
      <c r="A46" s="1"/>
      <c r="B46" s="1"/>
      <c r="C46" s="17"/>
    </row>
    <row r="47" spans="1:6" ht="16.5" x14ac:dyDescent="0.25">
      <c r="E47" s="1"/>
      <c r="F47" s="1"/>
    </row>
    <row r="51" spans="1:8" ht="16.5" x14ac:dyDescent="0.25">
      <c r="G51" s="1"/>
    </row>
    <row r="53" spans="1:8" ht="16.5" x14ac:dyDescent="0.25">
      <c r="A53" s="42"/>
      <c r="B53" s="20"/>
      <c r="C53" s="20"/>
    </row>
    <row r="54" spans="1:8" ht="16.5" x14ac:dyDescent="0.25">
      <c r="A54" s="18"/>
      <c r="B54" s="18"/>
      <c r="C54" s="18"/>
      <c r="D54" s="20"/>
      <c r="E54" s="20"/>
      <c r="F54" s="20"/>
    </row>
    <row r="55" spans="1:8" ht="16.5" x14ac:dyDescent="0.25">
      <c r="A55" s="7"/>
      <c r="B55" s="7"/>
      <c r="C55" s="7"/>
      <c r="D55" s="20"/>
      <c r="E55" s="20"/>
      <c r="F55" s="20"/>
    </row>
    <row r="56" spans="1:8" ht="16.5" x14ac:dyDescent="0.25">
      <c r="A56" s="7"/>
      <c r="B56" s="7"/>
      <c r="C56" s="7"/>
      <c r="D56" s="20"/>
      <c r="E56" s="20"/>
      <c r="F56" s="20"/>
    </row>
    <row r="57" spans="1:8" ht="16.5" x14ac:dyDescent="0.25">
      <c r="A57" s="42"/>
      <c r="B57" s="7"/>
      <c r="C57" s="7"/>
      <c r="D57" s="20"/>
      <c r="E57" s="20"/>
      <c r="F57" s="20"/>
    </row>
    <row r="58" spans="1:8" ht="16.5" x14ac:dyDescent="0.25">
      <c r="A58" s="18"/>
      <c r="B58" s="18"/>
      <c r="C58" s="18"/>
      <c r="D58" s="20"/>
      <c r="E58" s="20"/>
      <c r="F58" s="20"/>
      <c r="G58" s="20"/>
      <c r="H58" s="20"/>
    </row>
    <row r="59" spans="1:8" ht="16.5" x14ac:dyDescent="0.25">
      <c r="A59" s="7"/>
      <c r="B59" s="7"/>
      <c r="C59" s="7"/>
      <c r="D59" s="20"/>
      <c r="E59" s="20"/>
      <c r="F59" s="20"/>
      <c r="G59" s="20"/>
      <c r="H59" s="20"/>
    </row>
    <row r="60" spans="1:8" ht="16.5" x14ac:dyDescent="0.25">
      <c r="A60" s="7"/>
      <c r="B60" s="7"/>
      <c r="C60" s="7"/>
      <c r="D60" s="20"/>
      <c r="E60" s="20"/>
      <c r="F60" s="20"/>
      <c r="G60" s="20"/>
      <c r="H60" s="20"/>
    </row>
    <row r="61" spans="1:8" ht="16.5" x14ac:dyDescent="0.25">
      <c r="A61" s="42"/>
      <c r="B61" s="7"/>
      <c r="C61" s="7"/>
      <c r="D61" s="20"/>
      <c r="E61" s="20"/>
      <c r="F61" s="20"/>
      <c r="G61" s="20"/>
      <c r="H61" s="20"/>
    </row>
    <row r="62" spans="1:8" ht="16.5" x14ac:dyDescent="0.25">
      <c r="A62" s="18"/>
      <c r="B62" s="18"/>
      <c r="C62" s="18"/>
      <c r="D62" s="20"/>
      <c r="E62" s="20"/>
      <c r="F62" s="20"/>
      <c r="G62" s="20"/>
      <c r="H62" s="20"/>
    </row>
    <row r="63" spans="1:8" ht="16.5" x14ac:dyDescent="0.25">
      <c r="A63" s="7"/>
      <c r="B63" s="7"/>
      <c r="C63" s="7"/>
      <c r="D63" s="20"/>
      <c r="E63" s="20"/>
      <c r="F63" s="20"/>
      <c r="G63" s="20"/>
      <c r="H63" s="20"/>
    </row>
    <row r="64" spans="1:8" ht="16.5" x14ac:dyDescent="0.25">
      <c r="A64" s="7"/>
      <c r="B64" s="7"/>
      <c r="C64" s="7"/>
      <c r="D64" s="20"/>
      <c r="E64" s="20"/>
      <c r="F64" s="20"/>
      <c r="G64" s="20"/>
      <c r="H64" s="20"/>
    </row>
    <row r="65" spans="1:8" ht="16.5" x14ac:dyDescent="0.25">
      <c r="A65" s="42"/>
      <c r="B65" s="7"/>
      <c r="C65" s="7"/>
      <c r="D65" s="20"/>
      <c r="E65" s="20"/>
      <c r="F65" s="20"/>
      <c r="G65" s="20"/>
      <c r="H65" s="20"/>
    </row>
    <row r="66" spans="1:8" ht="16.5" x14ac:dyDescent="0.25">
      <c r="A66" s="18"/>
      <c r="B66" s="18"/>
      <c r="C66" s="18"/>
      <c r="D66" s="20"/>
      <c r="E66" s="20"/>
      <c r="F66" s="20"/>
      <c r="G66" s="20"/>
      <c r="H66" s="20"/>
    </row>
    <row r="67" spans="1:8" ht="16.5" x14ac:dyDescent="0.25">
      <c r="A67" s="7"/>
      <c r="B67" s="7"/>
      <c r="C67" s="7"/>
      <c r="D67" s="20"/>
      <c r="E67" s="20"/>
      <c r="F67" s="20"/>
      <c r="G67" s="20"/>
      <c r="H67" s="20"/>
    </row>
    <row r="68" spans="1:8" x14ac:dyDescent="0.25">
      <c r="A68" s="20"/>
      <c r="B68" s="20"/>
      <c r="C68" s="20"/>
      <c r="D68" s="20"/>
      <c r="E68" s="20"/>
      <c r="F68" s="20"/>
      <c r="G68" s="20"/>
      <c r="H68" s="20"/>
    </row>
    <row r="69" spans="1:8" x14ac:dyDescent="0.25">
      <c r="A69" s="20"/>
      <c r="B69" s="20"/>
      <c r="C69" s="20"/>
      <c r="D69" s="20"/>
      <c r="E69" s="20"/>
      <c r="F69" s="20"/>
      <c r="G69" s="20"/>
      <c r="H69" s="20"/>
    </row>
    <row r="70" spans="1:8" x14ac:dyDescent="0.25">
      <c r="A70" s="20"/>
      <c r="B70" s="20"/>
      <c r="C70" s="20"/>
      <c r="D70" s="20"/>
      <c r="E70" s="20"/>
      <c r="F70" s="20"/>
      <c r="G70" s="20"/>
      <c r="H70" s="20"/>
    </row>
    <row r="71" spans="1:8" x14ac:dyDescent="0.25">
      <c r="A71" s="20"/>
      <c r="B71" s="20"/>
      <c r="C71" s="20"/>
      <c r="D71" s="20"/>
      <c r="E71" s="20"/>
      <c r="F71" s="20"/>
      <c r="G71" s="20"/>
      <c r="H71" s="20"/>
    </row>
    <row r="72" spans="1:8" x14ac:dyDescent="0.25">
      <c r="A72" s="20"/>
      <c r="B72" s="20"/>
      <c r="C72" s="20"/>
      <c r="D72" s="20"/>
      <c r="E72" s="20"/>
      <c r="F72" s="20"/>
      <c r="G72" s="20"/>
      <c r="H72" s="20"/>
    </row>
    <row r="73" spans="1:8" ht="16.5" x14ac:dyDescent="0.25">
      <c r="A73" s="7"/>
      <c r="B73" s="18"/>
      <c r="C73" s="18"/>
      <c r="D73" s="20"/>
      <c r="E73" s="20"/>
      <c r="F73" s="20"/>
      <c r="G73" s="20"/>
      <c r="H73" s="20"/>
    </row>
    <row r="74" spans="1:8" ht="16.5" x14ac:dyDescent="0.25">
      <c r="A74" s="18"/>
      <c r="B74" s="21"/>
      <c r="C74" s="18"/>
      <c r="D74" s="18"/>
      <c r="E74" s="7"/>
      <c r="F74" s="7"/>
      <c r="G74" s="20"/>
      <c r="H74" s="20"/>
    </row>
    <row r="75" spans="1:8" ht="16.5" x14ac:dyDescent="0.25">
      <c r="A75" s="18"/>
      <c r="B75" s="22"/>
      <c r="C75" s="23"/>
      <c r="D75" s="18"/>
      <c r="E75" s="42"/>
      <c r="F75" s="7"/>
      <c r="G75" s="20"/>
      <c r="H75" s="20"/>
    </row>
    <row r="76" spans="1:8" ht="16.5" x14ac:dyDescent="0.25">
      <c r="A76" s="18"/>
      <c r="B76" s="23"/>
      <c r="C76" s="23"/>
      <c r="D76" s="23"/>
      <c r="E76" s="18"/>
      <c r="F76" s="18"/>
      <c r="G76" s="20"/>
      <c r="H76" s="20"/>
    </row>
    <row r="77" spans="1:8" ht="16.5" x14ac:dyDescent="0.25">
      <c r="A77" s="7"/>
      <c r="B77" s="7"/>
      <c r="C77" s="7"/>
      <c r="D77" s="23"/>
      <c r="E77" s="7"/>
      <c r="F77" s="7"/>
      <c r="G77" s="20"/>
      <c r="H77" s="20"/>
    </row>
    <row r="78" spans="1:8" ht="16.5" x14ac:dyDescent="0.25">
      <c r="A78" s="18"/>
      <c r="B78" s="21"/>
      <c r="C78" s="18"/>
      <c r="D78" s="7"/>
      <c r="E78" s="7"/>
      <c r="F78" s="7"/>
      <c r="G78" s="7"/>
      <c r="H78" s="20"/>
    </row>
    <row r="79" spans="1:8" ht="16.5" x14ac:dyDescent="0.25">
      <c r="A79" s="18"/>
      <c r="B79" s="22"/>
      <c r="C79" s="23"/>
      <c r="D79" s="18"/>
      <c r="E79" s="42"/>
      <c r="F79" s="7"/>
      <c r="G79" s="7"/>
      <c r="H79" s="20"/>
    </row>
    <row r="80" spans="1:8" ht="16.5" x14ac:dyDescent="0.25">
      <c r="A80" s="18"/>
      <c r="B80" s="23"/>
      <c r="C80" s="23"/>
      <c r="D80" s="23"/>
      <c r="E80" s="18"/>
      <c r="F80" s="18"/>
      <c r="G80" s="18"/>
      <c r="H80" s="20"/>
    </row>
    <row r="81" spans="1:8" ht="16.5" x14ac:dyDescent="0.25">
      <c r="A81" s="7"/>
      <c r="B81" s="7"/>
      <c r="C81" s="7"/>
      <c r="D81" s="23"/>
      <c r="E81" s="7"/>
      <c r="F81" s="7"/>
      <c r="G81" s="7"/>
      <c r="H81" s="20"/>
    </row>
    <row r="82" spans="1:8" ht="16.5" x14ac:dyDescent="0.25">
      <c r="A82" s="20"/>
      <c r="B82" s="20"/>
      <c r="C82" s="9"/>
      <c r="D82" s="7"/>
      <c r="E82" s="7"/>
      <c r="F82" s="7"/>
      <c r="G82" s="7"/>
      <c r="H82" s="20"/>
    </row>
    <row r="83" spans="1:8" ht="16.5" x14ac:dyDescent="0.25">
      <c r="A83" s="20"/>
      <c r="B83" s="20"/>
      <c r="C83" s="20"/>
      <c r="D83" s="9"/>
      <c r="E83" s="20"/>
      <c r="F83" s="20"/>
      <c r="G83" s="7"/>
      <c r="H83" s="20"/>
    </row>
    <row r="84" spans="1:8" ht="16.5" x14ac:dyDescent="0.25">
      <c r="A84" s="18"/>
      <c r="B84" s="18"/>
      <c r="C84" s="18"/>
      <c r="D84" s="20"/>
      <c r="E84" s="20"/>
      <c r="F84" s="20"/>
      <c r="G84" s="18"/>
      <c r="H84" s="20"/>
    </row>
    <row r="85" spans="1:8" ht="16.5" x14ac:dyDescent="0.25">
      <c r="A85" s="18"/>
      <c r="B85" s="21"/>
      <c r="C85" s="21"/>
      <c r="D85" s="18"/>
      <c r="E85" s="20"/>
      <c r="F85" s="20"/>
      <c r="G85" s="7"/>
      <c r="H85" s="20"/>
    </row>
    <row r="86" spans="1:8" ht="16.5" x14ac:dyDescent="0.25">
      <c r="A86" s="18"/>
      <c r="B86" s="22"/>
      <c r="C86" s="43"/>
      <c r="D86" s="21"/>
      <c r="E86" s="42"/>
      <c r="F86" s="7"/>
      <c r="G86" s="7"/>
      <c r="H86" s="20"/>
    </row>
    <row r="87" spans="1:8" ht="16.5" x14ac:dyDescent="0.25">
      <c r="A87" s="18"/>
      <c r="B87" s="22"/>
      <c r="C87" s="43"/>
      <c r="D87" s="23"/>
      <c r="E87" s="18"/>
      <c r="F87" s="18"/>
      <c r="G87" s="9"/>
      <c r="H87" s="20"/>
    </row>
    <row r="88" spans="1:8" ht="16.5" x14ac:dyDescent="0.25">
      <c r="A88" s="7"/>
      <c r="B88" s="7"/>
      <c r="C88" s="44"/>
      <c r="D88" s="23"/>
      <c r="E88" s="7"/>
      <c r="F88" s="7"/>
      <c r="G88" s="20"/>
      <c r="H88" s="20"/>
    </row>
    <row r="89" spans="1:8" ht="16.5" x14ac:dyDescent="0.25">
      <c r="A89" s="18"/>
      <c r="B89" s="21"/>
      <c r="C89" s="45"/>
      <c r="D89" s="20"/>
      <c r="E89" s="7"/>
      <c r="F89" s="7"/>
      <c r="G89" s="20"/>
      <c r="H89" s="20"/>
    </row>
    <row r="90" spans="1:8" ht="16.5" x14ac:dyDescent="0.25">
      <c r="A90" s="18"/>
      <c r="B90" s="22"/>
      <c r="C90" s="46"/>
      <c r="D90" s="21"/>
      <c r="E90" s="42"/>
      <c r="F90" s="7"/>
      <c r="G90" s="7"/>
      <c r="H90" s="20"/>
    </row>
    <row r="91" spans="1:8" ht="16.5" x14ac:dyDescent="0.25">
      <c r="A91" s="18"/>
      <c r="B91" s="22"/>
      <c r="C91" s="46"/>
      <c r="D91" s="23"/>
      <c r="E91" s="18"/>
      <c r="F91" s="18"/>
      <c r="G91" s="18"/>
      <c r="H91" s="20"/>
    </row>
    <row r="92" spans="1:8" ht="16.5" x14ac:dyDescent="0.25">
      <c r="A92" s="20"/>
      <c r="B92" s="20"/>
      <c r="C92" s="20"/>
      <c r="D92" s="23"/>
      <c r="E92" s="7"/>
      <c r="F92" s="7"/>
      <c r="G92" s="7"/>
      <c r="H92" s="20"/>
    </row>
    <row r="93" spans="1:8" ht="16.5" x14ac:dyDescent="0.25">
      <c r="A93" s="18"/>
      <c r="B93" s="18"/>
      <c r="C93" s="18"/>
      <c r="D93" s="20"/>
      <c r="E93" s="20"/>
      <c r="F93" s="20"/>
      <c r="G93" s="7"/>
      <c r="H93" s="20"/>
    </row>
    <row r="94" spans="1:8" ht="16.5" x14ac:dyDescent="0.25">
      <c r="A94" s="18"/>
      <c r="B94" s="21"/>
      <c r="C94" s="21"/>
      <c r="D94" s="18"/>
      <c r="E94" s="20"/>
      <c r="F94" s="20"/>
      <c r="G94" s="7"/>
      <c r="H94" s="20"/>
    </row>
    <row r="95" spans="1:8" ht="16.5" x14ac:dyDescent="0.25">
      <c r="A95" s="18"/>
      <c r="B95" s="22"/>
      <c r="C95" s="23"/>
      <c r="D95" s="21"/>
      <c r="E95" s="42"/>
      <c r="F95" s="20"/>
      <c r="G95" s="18"/>
      <c r="H95" s="20"/>
    </row>
    <row r="96" spans="1:8" ht="16.5" x14ac:dyDescent="0.25">
      <c r="A96" s="18"/>
      <c r="B96" s="22"/>
      <c r="C96" s="23"/>
      <c r="D96" s="23"/>
      <c r="E96" s="18"/>
      <c r="F96" s="18"/>
      <c r="G96" s="7"/>
      <c r="H96" s="20"/>
    </row>
    <row r="97" spans="1:8" ht="16.5" x14ac:dyDescent="0.25">
      <c r="A97" s="20"/>
      <c r="B97" s="20"/>
      <c r="C97" s="20"/>
      <c r="D97" s="23"/>
      <c r="E97" s="7"/>
      <c r="F97" s="7"/>
      <c r="G97" s="20"/>
      <c r="H97" s="20"/>
    </row>
    <row r="98" spans="1:8" ht="16.5" x14ac:dyDescent="0.25">
      <c r="A98" s="18"/>
      <c r="B98" s="21"/>
      <c r="C98" s="45"/>
      <c r="D98" s="20"/>
      <c r="E98" s="20"/>
      <c r="F98" s="20"/>
      <c r="G98" s="20"/>
      <c r="H98" s="20"/>
    </row>
    <row r="99" spans="1:8" ht="16.5" x14ac:dyDescent="0.25">
      <c r="A99" s="18"/>
      <c r="B99" s="23"/>
      <c r="C99" s="46"/>
      <c r="D99" s="21"/>
      <c r="E99" s="42"/>
      <c r="F99" s="7"/>
      <c r="G99" s="20"/>
      <c r="H99" s="20"/>
    </row>
    <row r="100" spans="1:8" ht="16.5" x14ac:dyDescent="0.25">
      <c r="A100" s="18"/>
      <c r="B100" s="23"/>
      <c r="C100" s="46"/>
      <c r="D100" s="23"/>
      <c r="E100" s="18"/>
      <c r="F100" s="18"/>
      <c r="G100" s="18"/>
      <c r="H100" s="20"/>
    </row>
    <row r="101" spans="1:8" ht="16.5" x14ac:dyDescent="0.25">
      <c r="D101" s="23"/>
      <c r="E101" s="7"/>
      <c r="F101" s="7"/>
      <c r="G101" s="7"/>
      <c r="H101" s="20"/>
    </row>
    <row r="102" spans="1:8" x14ac:dyDescent="0.25">
      <c r="G102" s="20"/>
      <c r="H102" s="20"/>
    </row>
    <row r="103" spans="1:8" ht="16.5" x14ac:dyDescent="0.25">
      <c r="G103" s="7"/>
      <c r="H103" s="20"/>
    </row>
    <row r="104" spans="1:8" ht="16.5" x14ac:dyDescent="0.25">
      <c r="G104" s="18"/>
      <c r="H104" s="20"/>
    </row>
    <row r="105" spans="1:8" ht="16.5" x14ac:dyDescent="0.25">
      <c r="G105" s="7"/>
      <c r="H105" s="20"/>
    </row>
    <row r="191" spans="4:5" x14ac:dyDescent="0.25">
      <c r="D191" s="9"/>
      <c r="E191" s="9"/>
    </row>
    <row r="205" spans="1:3" ht="16.5" x14ac:dyDescent="0.25">
      <c r="A205" s="7"/>
      <c r="B205" s="7"/>
      <c r="C205" s="7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98121-8216-4D57-89D6-1A750C0F3540}">
  <dimension ref="A1:G14"/>
  <sheetViews>
    <sheetView zoomScale="75" zoomScaleNormal="75" workbookViewId="0">
      <selection activeCell="B15" sqref="B15"/>
    </sheetView>
  </sheetViews>
  <sheetFormatPr defaultRowHeight="15.75" x14ac:dyDescent="0.25"/>
  <cols>
    <col min="1" max="1" width="31.28515625" customWidth="1"/>
    <col min="2" max="3" width="24.7109375" bestFit="1" customWidth="1"/>
    <col min="4" max="4" width="20" customWidth="1"/>
    <col min="5" max="5" width="23.5703125" bestFit="1" customWidth="1"/>
    <col min="6" max="6" width="17.7109375" customWidth="1"/>
    <col min="7" max="7" width="16.7109375" bestFit="1" customWidth="1"/>
  </cols>
  <sheetData>
    <row r="1" spans="1:7" ht="33" x14ac:dyDescent="0.25">
      <c r="A1" s="28" t="s">
        <v>33</v>
      </c>
      <c r="B1" s="28" t="s">
        <v>67</v>
      </c>
      <c r="C1" s="28" t="s">
        <v>89</v>
      </c>
      <c r="D1" s="28"/>
      <c r="E1" s="26" t="s">
        <v>7</v>
      </c>
      <c r="F1" s="4"/>
      <c r="G1" s="28"/>
    </row>
    <row r="2" spans="1:7" ht="16.5" x14ac:dyDescent="0.25">
      <c r="A2" s="15">
        <f>E2*365*4/12*0.955</f>
        <v>232.38333333333333</v>
      </c>
      <c r="B2" s="15">
        <f>A2*12</f>
        <v>2788.6</v>
      </c>
      <c r="C2" s="68">
        <f>B2*6.0312</f>
        <v>16818.604319999999</v>
      </c>
      <c r="D2" s="68"/>
      <c r="E2" s="25">
        <v>2</v>
      </c>
      <c r="F2" s="69"/>
      <c r="G2" s="12"/>
    </row>
    <row r="3" spans="1:7" ht="16.5" x14ac:dyDescent="0.25">
      <c r="A3" s="4" t="s">
        <v>69</v>
      </c>
      <c r="B3" s="4" t="s">
        <v>69</v>
      </c>
      <c r="C3" s="4" t="s">
        <v>90</v>
      </c>
      <c r="D3" s="4"/>
      <c r="E3" s="29" t="s">
        <v>0</v>
      </c>
      <c r="F3" s="70"/>
      <c r="G3" s="12"/>
    </row>
    <row r="4" spans="1:7" ht="16.5" x14ac:dyDescent="0.25">
      <c r="A4" s="28"/>
      <c r="B4" s="28"/>
      <c r="D4" s="11"/>
      <c r="E4" s="11"/>
      <c r="F4" s="12"/>
      <c r="G4" s="12"/>
    </row>
    <row r="5" spans="1:7" ht="16.5" x14ac:dyDescent="0.25">
      <c r="A5" s="16"/>
      <c r="B5" s="16"/>
      <c r="D5" s="11"/>
      <c r="E5" s="11"/>
      <c r="F5" s="14"/>
      <c r="G5" s="14"/>
    </row>
    <row r="6" spans="1:7" ht="16.5" x14ac:dyDescent="0.25">
      <c r="A6" s="13"/>
      <c r="B6" s="72" t="s">
        <v>99</v>
      </c>
      <c r="C6" s="72" t="s">
        <v>98</v>
      </c>
    </row>
    <row r="7" spans="1:7" ht="16.5" x14ac:dyDescent="0.25">
      <c r="A7" s="60" t="s">
        <v>74</v>
      </c>
      <c r="B7" s="4" t="s">
        <v>25</v>
      </c>
      <c r="C7" s="4" t="s">
        <v>25</v>
      </c>
      <c r="D7" s="72" t="s">
        <v>0</v>
      </c>
    </row>
    <row r="8" spans="1:7" ht="18.75" customHeight="1" x14ac:dyDescent="0.25">
      <c r="A8" s="52" t="s">
        <v>68</v>
      </c>
      <c r="B8" s="5">
        <f>(D9+2000-3000*E2)/C2</f>
        <v>8.4430311396968527</v>
      </c>
      <c r="C8" s="5">
        <f>(D10+2000-3000*E2)/C2</f>
        <v>9.3943585920570616</v>
      </c>
      <c r="D8" s="72" t="s">
        <v>75</v>
      </c>
    </row>
    <row r="9" spans="1:7" ht="18.75" customHeight="1" x14ac:dyDescent="0.25">
      <c r="A9" s="52" t="s">
        <v>91</v>
      </c>
      <c r="B9" s="5">
        <f>(D9+2000-18000*E2)/C2</f>
        <v>6.6592921665214613</v>
      </c>
      <c r="C9" s="5">
        <f>(D10+2000-18000*E2)/C2</f>
        <v>7.6106196188816702</v>
      </c>
      <c r="D9" s="4">
        <f>E2*73000</f>
        <v>146000</v>
      </c>
    </row>
    <row r="10" spans="1:7" ht="18.75" customHeight="1" x14ac:dyDescent="0.25">
      <c r="A10" s="52" t="s">
        <v>100</v>
      </c>
      <c r="B10" s="5">
        <f>(D9+2000-8000*E2)/C2</f>
        <v>7.8484514819717219</v>
      </c>
      <c r="C10" s="5">
        <f>(D10+2000-8000*E2)/C2</f>
        <v>8.7997789343319308</v>
      </c>
      <c r="D10" s="4">
        <f>E2*81000</f>
        <v>162000</v>
      </c>
    </row>
    <row r="11" spans="1:7" ht="18.75" customHeight="1" x14ac:dyDescent="0.25">
      <c r="A11" s="52" t="s">
        <v>92</v>
      </c>
      <c r="B11" s="5">
        <f>(D9+2000-10500*E2)/C2</f>
        <v>7.5511616531091574</v>
      </c>
      <c r="C11" s="5">
        <f>(D10+2000-10500*E2)/C2</f>
        <v>8.5024891054693654</v>
      </c>
      <c r="D11" s="71" t="s">
        <v>73</v>
      </c>
    </row>
    <row r="12" spans="1:7" ht="18.75" customHeight="1" x14ac:dyDescent="0.25">
      <c r="A12" s="52" t="s">
        <v>93</v>
      </c>
      <c r="B12" s="5">
        <f>(D9+2000-9000*E2)/C2</f>
        <v>7.7295355504266965</v>
      </c>
      <c r="C12" s="5">
        <f>(D10+2000-9000*E2)/C2</f>
        <v>8.6808630027869054</v>
      </c>
    </row>
    <row r="13" spans="1:7" ht="18.75" customHeight="1" x14ac:dyDescent="0.25">
      <c r="A13" s="52" t="s">
        <v>94</v>
      </c>
      <c r="B13" s="5">
        <f>(D9+2000-10000*E2)/C2</f>
        <v>7.6106196188816702</v>
      </c>
      <c r="C13" s="5">
        <f>(D10+2000-10000*E2)/C2</f>
        <v>8.5619470712418781</v>
      </c>
    </row>
    <row r="14" spans="1:7" ht="18.75" customHeight="1" x14ac:dyDescent="0.25">
      <c r="A14" s="52" t="s">
        <v>95</v>
      </c>
      <c r="B14" s="5">
        <f>(D9+3000-21000*E2)/C2</f>
        <v>6.3620023376588959</v>
      </c>
      <c r="C14" s="5">
        <f>(D10+3000-21000*E2)/C2</f>
        <v>7.3133297900191048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3AA95-D91F-467B-9124-F40BF8645C70}">
  <dimension ref="A1:L19"/>
  <sheetViews>
    <sheetView zoomScale="85" zoomScaleNormal="85" workbookViewId="0">
      <selection activeCell="I5" sqref="I5"/>
    </sheetView>
  </sheetViews>
  <sheetFormatPr defaultRowHeight="15.75" x14ac:dyDescent="0.25"/>
  <cols>
    <col min="1" max="1" width="14.28515625" bestFit="1" customWidth="1"/>
    <col min="9" max="9" width="34.5703125" bestFit="1" customWidth="1"/>
    <col min="12" max="12" width="40" customWidth="1"/>
  </cols>
  <sheetData>
    <row r="1" spans="1:12" x14ac:dyDescent="0.25">
      <c r="A1" s="66"/>
      <c r="I1" s="33" t="s">
        <v>31</v>
      </c>
      <c r="L1" s="33" t="s">
        <v>54</v>
      </c>
    </row>
    <row r="2" spans="1:12" x14ac:dyDescent="0.25">
      <c r="A2" s="67"/>
      <c r="I2" s="30" t="s">
        <v>53</v>
      </c>
      <c r="J2" s="30"/>
      <c r="L2" s="30" t="s">
        <v>51</v>
      </c>
    </row>
    <row r="3" spans="1:12" ht="30" x14ac:dyDescent="0.25">
      <c r="I3" s="32" t="s">
        <v>64</v>
      </c>
      <c r="J3" s="32"/>
    </row>
    <row r="4" spans="1:12" ht="45" x14ac:dyDescent="0.25">
      <c r="I4" s="32" t="s">
        <v>79</v>
      </c>
      <c r="J4" s="65"/>
    </row>
    <row r="5" spans="1:12" x14ac:dyDescent="0.25">
      <c r="I5" s="30" t="s">
        <v>30</v>
      </c>
      <c r="J5" s="30"/>
    </row>
    <row r="6" spans="1:12" x14ac:dyDescent="0.25">
      <c r="I6" s="32" t="s">
        <v>80</v>
      </c>
      <c r="J6" s="30"/>
    </row>
    <row r="7" spans="1:12" x14ac:dyDescent="0.25">
      <c r="I7" s="30" t="s">
        <v>76</v>
      </c>
      <c r="J7" s="30"/>
    </row>
    <row r="8" spans="1:12" x14ac:dyDescent="0.25">
      <c r="I8" s="30" t="s">
        <v>77</v>
      </c>
      <c r="J8" s="30"/>
      <c r="L8" s="30" t="s">
        <v>52</v>
      </c>
    </row>
    <row r="9" spans="1:12" x14ac:dyDescent="0.25">
      <c r="I9" s="30" t="s">
        <v>78</v>
      </c>
      <c r="J9" s="30"/>
    </row>
    <row r="10" spans="1:12" x14ac:dyDescent="0.25">
      <c r="I10" s="30" t="s">
        <v>29</v>
      </c>
    </row>
    <row r="11" spans="1:12" x14ac:dyDescent="0.25">
      <c r="I11" s="30" t="s">
        <v>50</v>
      </c>
    </row>
    <row r="19" spans="1:10" ht="16.5" thickBot="1" x14ac:dyDescent="0.3">
      <c r="A19" s="41"/>
      <c r="B19" s="41"/>
      <c r="C19" s="41"/>
      <c r="D19" s="41"/>
      <c r="E19" s="41"/>
      <c r="F19" s="41"/>
      <c r="G19" s="41"/>
      <c r="H19" s="41"/>
      <c r="I19" s="41"/>
      <c r="J19" s="41"/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53079-2D78-44E0-8865-2EDFBD10890D}">
  <dimension ref="A1:F10"/>
  <sheetViews>
    <sheetView zoomScale="85" zoomScaleNormal="85" workbookViewId="0"/>
  </sheetViews>
  <sheetFormatPr defaultRowHeight="15.75" x14ac:dyDescent="0.25"/>
  <cols>
    <col min="1" max="1" width="12.7109375" bestFit="1" customWidth="1"/>
    <col min="2" max="2" width="12.85546875" bestFit="1" customWidth="1"/>
    <col min="5" max="5" width="31.140625" bestFit="1" customWidth="1"/>
  </cols>
  <sheetData>
    <row r="1" spans="1:6" x14ac:dyDescent="0.25">
      <c r="A1" s="31" t="s">
        <v>62</v>
      </c>
      <c r="B1" s="38" t="s">
        <v>42</v>
      </c>
      <c r="C1" s="38" t="s">
        <v>43</v>
      </c>
      <c r="D1" s="38" t="s">
        <v>44</v>
      </c>
      <c r="E1" s="39" t="s">
        <v>59</v>
      </c>
      <c r="F1" s="39" t="s">
        <v>47</v>
      </c>
    </row>
    <row r="2" spans="1:6" ht="45" x14ac:dyDescent="0.25">
      <c r="A2" s="37"/>
      <c r="B2" s="47" t="s">
        <v>60</v>
      </c>
      <c r="C2" s="48">
        <v>1250</v>
      </c>
      <c r="D2" s="48" t="s">
        <v>45</v>
      </c>
      <c r="E2" s="48" t="s">
        <v>65</v>
      </c>
      <c r="F2" s="48" t="s">
        <v>46</v>
      </c>
    </row>
    <row r="3" spans="1:6" x14ac:dyDescent="0.25">
      <c r="A3" s="30"/>
      <c r="B3" s="30"/>
      <c r="C3" s="30"/>
      <c r="D3" s="30"/>
      <c r="E3" s="30"/>
      <c r="F3" s="30"/>
    </row>
    <row r="4" spans="1:6" ht="16.5" thickBot="1" x14ac:dyDescent="0.3">
      <c r="A4" s="40"/>
      <c r="B4" s="40" t="s">
        <v>48</v>
      </c>
      <c r="C4" s="40"/>
      <c r="D4" s="40"/>
      <c r="E4" s="40"/>
      <c r="F4" s="40"/>
    </row>
    <row r="5" spans="1:6" x14ac:dyDescent="0.25">
      <c r="A5" s="30"/>
      <c r="B5" s="30"/>
      <c r="C5" s="30"/>
      <c r="D5" s="30"/>
      <c r="E5" s="30"/>
      <c r="F5" s="30"/>
    </row>
    <row r="6" spans="1:6" x14ac:dyDescent="0.25">
      <c r="A6" s="30"/>
      <c r="B6" s="30"/>
      <c r="C6" s="30"/>
      <c r="D6" s="30"/>
      <c r="E6" s="30"/>
      <c r="F6" s="30"/>
    </row>
    <row r="7" spans="1:6" x14ac:dyDescent="0.25">
      <c r="A7" s="31" t="s">
        <v>63</v>
      </c>
      <c r="B7" s="38" t="s">
        <v>42</v>
      </c>
      <c r="C7" s="38" t="s">
        <v>43</v>
      </c>
      <c r="D7" s="38" t="s">
        <v>44</v>
      </c>
      <c r="E7" s="39" t="s">
        <v>61</v>
      </c>
      <c r="F7" s="39" t="s">
        <v>47</v>
      </c>
    </row>
    <row r="8" spans="1:6" ht="45" x14ac:dyDescent="0.25">
      <c r="A8" s="37"/>
      <c r="B8" s="47" t="s">
        <v>60</v>
      </c>
      <c r="C8" s="48">
        <v>2500</v>
      </c>
      <c r="D8" s="48" t="s">
        <v>45</v>
      </c>
      <c r="E8" s="48" t="s">
        <v>66</v>
      </c>
      <c r="F8" s="48" t="s">
        <v>46</v>
      </c>
    </row>
    <row r="9" spans="1:6" x14ac:dyDescent="0.25">
      <c r="A9" s="30"/>
      <c r="B9" s="30"/>
      <c r="C9" s="30"/>
      <c r="D9" s="30"/>
      <c r="E9" s="30"/>
      <c r="F9" s="30"/>
    </row>
    <row r="10" spans="1:6" ht="16.5" thickBot="1" x14ac:dyDescent="0.3">
      <c r="A10" s="40"/>
      <c r="B10" s="40" t="s">
        <v>48</v>
      </c>
      <c r="C10" s="40"/>
      <c r="D10" s="40"/>
      <c r="E10" s="40"/>
      <c r="F10" s="40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倍得利資料</vt:lpstr>
      <vt:lpstr>計算教學</vt:lpstr>
      <vt:lpstr>住宅自用+賣綠證</vt:lpstr>
      <vt:lpstr>營業自用+賣綠證</vt:lpstr>
      <vt:lpstr>全額躉售</vt:lpstr>
      <vt:lpstr>安裝整套 價格&amp;內容物</vt:lpstr>
      <vt:lpstr>BOLD大量訂購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unt</dc:creator>
  <cp:lastModifiedBy>unt</cp:lastModifiedBy>
  <dcterms:created xsi:type="dcterms:W3CDTF">2015-06-05T18:19:34Z</dcterms:created>
  <dcterms:modified xsi:type="dcterms:W3CDTF">2025-04-10T01:51:01Z</dcterms:modified>
</cp:coreProperties>
</file>